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392" activeTab="4"/>
  </bookViews>
  <sheets>
    <sheet name="Consoli" sheetId="12" r:id="rId1"/>
    <sheet name="400" sheetId="1" r:id="rId2"/>
    <sheet name="404" sheetId="5" r:id="rId3"/>
    <sheet name="411" sheetId="19" r:id="rId4"/>
    <sheet name="425" sheetId="25" r:id="rId5"/>
    <sheet name="426" sheetId="26" r:id="rId6"/>
    <sheet name="Sheet2" sheetId="21" state="hidden" r:id="rId7"/>
    <sheet name="Sheet3" sheetId="24" state="hidden" r:id="rId8"/>
    <sheet name="Sheet1" sheetId="20" state="hidden" r:id="rId9"/>
  </sheets>
  <definedNames>
    <definedName name="_xlnm.Print_Area" localSheetId="1">'400'!$A$1:$AD$152</definedName>
    <definedName name="_xlnm.Print_Area" localSheetId="2">'404'!$A$1:$AD$152</definedName>
    <definedName name="_xlnm.Print_Area" localSheetId="3">'411'!$A$1:$AD$152</definedName>
    <definedName name="_xlnm.Print_Area" localSheetId="4">'425'!$A$1:$AD$152</definedName>
    <definedName name="_xlnm.Print_Area" localSheetId="5">'426'!$A$1:$AD$152</definedName>
    <definedName name="_xlnm.Print_Area" localSheetId="0">Consoli!$A$1:$AD$155</definedName>
    <definedName name="_xlnm.Print_Area" localSheetId="6">Sheet2!$A$1:$AD$151</definedName>
    <definedName name="_xlnm.Print_Area" localSheetId="7">Sheet3!$A$1:$AD$151</definedName>
    <definedName name="_xlnm.Print_Titles" localSheetId="1">'400'!$1:$3</definedName>
    <definedName name="_xlnm.Print_Titles" localSheetId="2">'404'!$1:$3</definedName>
    <definedName name="_xlnm.Print_Titles" localSheetId="3">'411'!$1:$3</definedName>
    <definedName name="_xlnm.Print_Titles" localSheetId="4">'425'!$1:$3</definedName>
    <definedName name="_xlnm.Print_Titles" localSheetId="5">'426'!$1:$3</definedName>
    <definedName name="_xlnm.Print_Titles" localSheetId="0">Consoli!$1:$3</definedName>
    <definedName name="_xlnm.Print_Titles" localSheetId="6">Sheet2!$1:$3</definedName>
    <definedName name="_xlnm.Print_Titles" localSheetId="7">Sheet3!$1:$3</definedName>
    <definedName name="Z_02AA01BD_C75B_4B6E_A8E6_EEB6E90D29E4_.wvu.Cols" localSheetId="0" hidden="1">Consoli!#REF!</definedName>
    <definedName name="Z_02AA01BD_C75B_4B6E_A8E6_EEB6E90D29E4_.wvu.Rows" localSheetId="1" hidden="1">'400'!$153:$153</definedName>
    <definedName name="Z_02AA01BD_C75B_4B6E_A8E6_EEB6E90D29E4_.wvu.Rows" localSheetId="2" hidden="1">'404'!$155:$156,'404'!#REF!</definedName>
    <definedName name="Z_02AA01BD_C75B_4B6E_A8E6_EEB6E90D29E4_.wvu.Rows" localSheetId="4" hidden="1">'425'!$153:$153</definedName>
    <definedName name="Z_02AA01BD_C75B_4B6E_A8E6_EEB6E90D29E4_.wvu.Rows" localSheetId="5" hidden="1">'426'!$153:$153</definedName>
    <definedName name="Z_02AA01BD_C75B_4B6E_A8E6_EEB6E90D29E4_.wvu.Rows" localSheetId="0" hidden="1">Consoli!$153:$153</definedName>
    <definedName name="Z_02AA01BD_C75B_4B6E_A8E6_EEB6E90D29E4_.wvu.Rows" localSheetId="6" hidden="1">Sheet2!$152:$152</definedName>
    <definedName name="Z_02AA01BD_C75B_4B6E_A8E6_EEB6E90D29E4_.wvu.Rows" localSheetId="7" hidden="1">Sheet3!$152:$152</definedName>
    <definedName name="Z_209662B1_09B2_4060_A837_250CED7848ED_.wvu.Cols" localSheetId="0" hidden="1">Consoli!#REF!</definedName>
    <definedName name="Z_209662B1_09B2_4060_A837_250CED7848ED_.wvu.Rows" localSheetId="1" hidden="1">'400'!$153:$153</definedName>
    <definedName name="Z_209662B1_09B2_4060_A837_250CED7848ED_.wvu.Rows" localSheetId="2" hidden="1">'404'!$155:$156,'404'!#REF!</definedName>
    <definedName name="Z_209662B1_09B2_4060_A837_250CED7848ED_.wvu.Rows" localSheetId="4" hidden="1">'425'!$153:$153</definedName>
    <definedName name="Z_209662B1_09B2_4060_A837_250CED7848ED_.wvu.Rows" localSheetId="5" hidden="1">'426'!$153:$153</definedName>
    <definedName name="Z_209662B1_09B2_4060_A837_250CED7848ED_.wvu.Rows" localSheetId="0" hidden="1">Consoli!$153:$153</definedName>
    <definedName name="Z_209662B1_09B2_4060_A837_250CED7848ED_.wvu.Rows" localSheetId="6" hidden="1">Sheet2!$152:$152</definedName>
    <definedName name="Z_209662B1_09B2_4060_A837_250CED7848ED_.wvu.Rows" localSheetId="7" hidden="1">Sheet3!$152:$152</definedName>
    <definedName name="Z_879F34B1_DA85_44D2_99EE_74A633FB2C72_.wvu.Cols" localSheetId="0" hidden="1">Consoli!#REF!</definedName>
    <definedName name="Z_879F34B1_DA85_44D2_99EE_74A633FB2C72_.wvu.Rows" localSheetId="1" hidden="1">'400'!$153:$153</definedName>
    <definedName name="Z_879F34B1_DA85_44D2_99EE_74A633FB2C72_.wvu.Rows" localSheetId="2" hidden="1">'404'!$155:$156,'404'!#REF!</definedName>
    <definedName name="Z_879F34B1_DA85_44D2_99EE_74A633FB2C72_.wvu.Rows" localSheetId="4" hidden="1">'425'!$153:$153</definedName>
    <definedName name="Z_879F34B1_DA85_44D2_99EE_74A633FB2C72_.wvu.Rows" localSheetId="5" hidden="1">'426'!$153:$153</definedName>
    <definedName name="Z_879F34B1_DA85_44D2_99EE_74A633FB2C72_.wvu.Rows" localSheetId="0" hidden="1">Consoli!$153:$153</definedName>
    <definedName name="Z_879F34B1_DA85_44D2_99EE_74A633FB2C72_.wvu.Rows" localSheetId="6" hidden="1">Sheet2!$152:$152</definedName>
    <definedName name="Z_879F34B1_DA85_44D2_99EE_74A633FB2C72_.wvu.Rows" localSheetId="7" hidden="1">Sheet3!$152:$152</definedName>
    <definedName name="Z_A8167CC1_C909_4D11_B8D5_4313083C8125_.wvu.Cols" localSheetId="1" hidden="1">'400'!$AE:$AG</definedName>
    <definedName name="Z_A8167CC1_C909_4D11_B8D5_4313083C8125_.wvu.Cols" localSheetId="2" hidden="1">'404'!$AE:$AK</definedName>
    <definedName name="Z_A8167CC1_C909_4D11_B8D5_4313083C8125_.wvu.Cols" localSheetId="4" hidden="1">'425'!$AE:$AG</definedName>
    <definedName name="Z_A8167CC1_C909_4D11_B8D5_4313083C8125_.wvu.Cols" localSheetId="5" hidden="1">'426'!$AE:$AG</definedName>
    <definedName name="Z_A8167CC1_C909_4D11_B8D5_4313083C8125_.wvu.Cols" localSheetId="0" hidden="1">Consoli!#REF!</definedName>
    <definedName name="Z_A8167CC1_C909_4D11_B8D5_4313083C8125_.wvu.Cols" localSheetId="6" hidden="1">Sheet2!$AE:$AG</definedName>
    <definedName name="Z_A8167CC1_C909_4D11_B8D5_4313083C8125_.wvu.Cols" localSheetId="7" hidden="1">Sheet3!$AE:$AG</definedName>
    <definedName name="Z_A8167CC1_C909_4D11_B8D5_4313083C8125_.wvu.Rows" localSheetId="1" hidden="1">'400'!$153:$153</definedName>
    <definedName name="Z_A8167CC1_C909_4D11_B8D5_4313083C8125_.wvu.Rows" localSheetId="2" hidden="1">'404'!$155:$156,'404'!#REF!</definedName>
    <definedName name="Z_A8167CC1_C909_4D11_B8D5_4313083C8125_.wvu.Rows" localSheetId="4" hidden="1">'425'!$153:$153</definedName>
    <definedName name="Z_A8167CC1_C909_4D11_B8D5_4313083C8125_.wvu.Rows" localSheetId="5" hidden="1">'426'!$153:$153</definedName>
    <definedName name="Z_A8167CC1_C909_4D11_B8D5_4313083C8125_.wvu.Rows" localSheetId="0" hidden="1">Consoli!$153:$153</definedName>
    <definedName name="Z_A8167CC1_C909_4D11_B8D5_4313083C8125_.wvu.Rows" localSheetId="6" hidden="1">Sheet2!$152:$152</definedName>
    <definedName name="Z_A8167CC1_C909_4D11_B8D5_4313083C8125_.wvu.Rows" localSheetId="7" hidden="1">Sheet3!$152:$152</definedName>
    <definedName name="Z_AA4262F8_9AB3_4147_94E2_8DEF81F7E83C_.wvu.Cols" localSheetId="0" hidden="1">Consoli!#REF!</definedName>
    <definedName name="Z_AA4262F8_9AB3_4147_94E2_8DEF81F7E83C_.wvu.Rows" localSheetId="1" hidden="1">'400'!$153:$153</definedName>
    <definedName name="Z_AA4262F8_9AB3_4147_94E2_8DEF81F7E83C_.wvu.Rows" localSheetId="2" hidden="1">'404'!$155:$156,'404'!#REF!</definedName>
    <definedName name="Z_AA4262F8_9AB3_4147_94E2_8DEF81F7E83C_.wvu.Rows" localSheetId="4" hidden="1">'425'!$153:$153</definedName>
    <definedName name="Z_AA4262F8_9AB3_4147_94E2_8DEF81F7E83C_.wvu.Rows" localSheetId="5" hidden="1">'426'!$153:$153</definedName>
    <definedName name="Z_AA4262F8_9AB3_4147_94E2_8DEF81F7E83C_.wvu.Rows" localSheetId="0" hidden="1">Consoli!$153:$153</definedName>
    <definedName name="Z_AA4262F8_9AB3_4147_94E2_8DEF81F7E83C_.wvu.Rows" localSheetId="6" hidden="1">Sheet2!$152:$152</definedName>
    <definedName name="Z_AA4262F8_9AB3_4147_94E2_8DEF81F7E83C_.wvu.Rows" localSheetId="7" hidden="1">Sheet3!$152:$152</definedName>
    <definedName name="Z_B2BB7590_1CD2_4457_858D_F8835B99F338_.wvu.Cols" localSheetId="0" hidden="1">Consoli!#REF!</definedName>
    <definedName name="Z_B2BB7590_1CD2_4457_858D_F8835B99F338_.wvu.Rows" localSheetId="1" hidden="1">'400'!$153:$153</definedName>
    <definedName name="Z_B2BB7590_1CD2_4457_858D_F8835B99F338_.wvu.Rows" localSheetId="2" hidden="1">'404'!$155:$156,'404'!#REF!</definedName>
    <definedName name="Z_B2BB7590_1CD2_4457_858D_F8835B99F338_.wvu.Rows" localSheetId="4" hidden="1">'425'!$153:$153</definedName>
    <definedName name="Z_B2BB7590_1CD2_4457_858D_F8835B99F338_.wvu.Rows" localSheetId="5" hidden="1">'426'!$153:$153</definedName>
    <definedName name="Z_B2BB7590_1CD2_4457_858D_F8835B99F338_.wvu.Rows" localSheetId="0" hidden="1">Consoli!$153:$153</definedName>
    <definedName name="Z_B2BB7590_1CD2_4457_858D_F8835B99F338_.wvu.Rows" localSheetId="6" hidden="1">Sheet2!$152:$152</definedName>
    <definedName name="Z_B2BB7590_1CD2_4457_858D_F8835B99F338_.wvu.Rows" localSheetId="7" hidden="1">Sheet3!$152:$152</definedName>
    <definedName name="Z_BFB0E08A_7D07_48F2_93C4_BE631A8642F6_.wvu.Cols" localSheetId="0" hidden="1">Consoli!#REF!</definedName>
    <definedName name="Z_BFB0E08A_7D07_48F2_93C4_BE631A8642F6_.wvu.Rows" localSheetId="1" hidden="1">'400'!$153:$153</definedName>
    <definedName name="Z_BFB0E08A_7D07_48F2_93C4_BE631A8642F6_.wvu.Rows" localSheetId="2" hidden="1">'404'!$155:$156,'404'!#REF!</definedName>
    <definedName name="Z_BFB0E08A_7D07_48F2_93C4_BE631A8642F6_.wvu.Rows" localSheetId="4" hidden="1">'425'!$153:$153</definedName>
    <definedName name="Z_BFB0E08A_7D07_48F2_93C4_BE631A8642F6_.wvu.Rows" localSheetId="5" hidden="1">'426'!$153:$153</definedName>
    <definedName name="Z_BFB0E08A_7D07_48F2_93C4_BE631A8642F6_.wvu.Rows" localSheetId="0" hidden="1">Consoli!$153:$153</definedName>
    <definedName name="Z_BFB0E08A_7D07_48F2_93C4_BE631A8642F6_.wvu.Rows" localSheetId="6" hidden="1">Sheet2!$152:$152</definedName>
    <definedName name="Z_BFB0E08A_7D07_48F2_93C4_BE631A8642F6_.wvu.Rows" localSheetId="7" hidden="1">Sheet3!$152:$152</definedName>
    <definedName name="Z_D65E0E17_9A53_4B36_ADDE_FDFBD878E6A1_.wvu.Rows" localSheetId="2" hidden="1">'404'!$155:$156,'404'!#REF!</definedName>
    <definedName name="Z_E19D3675_E478_4A54_8E7A_94A199F67811_.wvu.Cols" localSheetId="0" hidden="1">Consoli!#REF!</definedName>
    <definedName name="Z_E19D3675_E478_4A54_8E7A_94A199F67811_.wvu.Rows" localSheetId="1" hidden="1">'400'!$153:$153</definedName>
    <definedName name="Z_E19D3675_E478_4A54_8E7A_94A199F67811_.wvu.Rows" localSheetId="2" hidden="1">'404'!$155:$156,'404'!#REF!</definedName>
    <definedName name="Z_E19D3675_E478_4A54_8E7A_94A199F67811_.wvu.Rows" localSheetId="4" hidden="1">'425'!$153:$153</definedName>
    <definedName name="Z_E19D3675_E478_4A54_8E7A_94A199F67811_.wvu.Rows" localSheetId="5" hidden="1">'426'!$153:$153</definedName>
    <definedName name="Z_E19D3675_E478_4A54_8E7A_94A199F67811_.wvu.Rows" localSheetId="0" hidden="1">Consoli!$153:$153</definedName>
    <definedName name="Z_E19D3675_E478_4A54_8E7A_94A199F67811_.wvu.Rows" localSheetId="6" hidden="1">Sheet2!$152:$152</definedName>
    <definedName name="Z_E19D3675_E478_4A54_8E7A_94A199F67811_.wvu.Rows" localSheetId="7" hidden="1">Sheet3!$152:$152</definedName>
    <definedName name="Z_F3E5B7E7_D3C6_4CDC_BAA7_D62F15A870E4_.wvu.Rows" localSheetId="2" hidden="1">'404'!$155:$156,'404'!#REF!</definedName>
  </definedNames>
  <calcPr calcId="125725"/>
  <customWorkbookViews>
    <customWorkbookView name="MatalanMIS - Personal View" guid="{AA4262F8-9AB3-4147-94E2-8DEF81F7E83C}" mergeInterval="0" personalView="1" maximized="1" xWindow="1" yWindow="1" windowWidth="1276" windowHeight="803" tabRatio="844" activeSheetId="1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Nikhil Cheda - Personal View" guid="{E19D3675-E478-4A54-8E7A-94A199F67811}" mergeInterval="0" personalView="1" maximized="1" xWindow="1" yWindow="1" windowWidth="1356" windowHeight="525" tabRatio="844" activeSheetId="4"/>
  </customWorkbookViews>
  <fileRecoveryPr autoRecover="0"/>
</workbook>
</file>

<file path=xl/calcChain.xml><?xml version="1.0" encoding="utf-8"?>
<calcChain xmlns="http://schemas.openxmlformats.org/spreadsheetml/2006/main">
  <c r="Z117" i="26"/>
  <c r="X117"/>
  <c r="V117"/>
  <c r="T117"/>
  <c r="R117"/>
  <c r="P117"/>
  <c r="N117"/>
  <c r="L117"/>
  <c r="J117"/>
  <c r="H117"/>
  <c r="F117"/>
  <c r="D117"/>
  <c r="Z117" i="25"/>
  <c r="X117"/>
  <c r="V117"/>
  <c r="T117"/>
  <c r="R117"/>
  <c r="P117"/>
  <c r="N117"/>
  <c r="L117"/>
  <c r="J117"/>
  <c r="H117"/>
  <c r="F117"/>
  <c r="D117"/>
  <c r="Z117" i="19"/>
  <c r="X117"/>
  <c r="V117"/>
  <c r="T117"/>
  <c r="R117"/>
  <c r="P117"/>
  <c r="N117"/>
  <c r="L117"/>
  <c r="J117"/>
  <c r="H117"/>
  <c r="F117"/>
  <c r="D117"/>
  <c r="Z117" i="5"/>
  <c r="X117"/>
  <c r="V117"/>
  <c r="T117"/>
  <c r="R117"/>
  <c r="P117"/>
  <c r="N117"/>
  <c r="L117"/>
  <c r="J117"/>
  <c r="H117"/>
  <c r="F117"/>
  <c r="D117"/>
  <c r="S17" i="1"/>
  <c r="X88" i="26"/>
  <c r="V88"/>
  <c r="T88"/>
  <c r="R88"/>
  <c r="P88"/>
  <c r="N88"/>
  <c r="L88"/>
  <c r="J88"/>
  <c r="H88"/>
  <c r="F88"/>
  <c r="D88"/>
  <c r="X88" i="25"/>
  <c r="V88"/>
  <c r="T88"/>
  <c r="R88"/>
  <c r="P88"/>
  <c r="N88"/>
  <c r="L88"/>
  <c r="J88"/>
  <c r="H88"/>
  <c r="F88"/>
  <c r="D88"/>
  <c r="X88" i="19"/>
  <c r="V88"/>
  <c r="T88"/>
  <c r="R88"/>
  <c r="P88"/>
  <c r="N88"/>
  <c r="L88"/>
  <c r="J88"/>
  <c r="H88"/>
  <c r="F88"/>
  <c r="D88"/>
  <c r="Z25" i="26" l="1"/>
  <c r="X25"/>
  <c r="V25"/>
  <c r="T25"/>
  <c r="R25"/>
  <c r="P25"/>
  <c r="N25"/>
  <c r="L25"/>
  <c r="J25"/>
  <c r="H25"/>
  <c r="F25"/>
  <c r="D25"/>
  <c r="Z25" i="25"/>
  <c r="X25"/>
  <c r="V25"/>
  <c r="T25"/>
  <c r="R25"/>
  <c r="P25"/>
  <c r="N25"/>
  <c r="L25"/>
  <c r="J25"/>
  <c r="H25"/>
  <c r="F25"/>
  <c r="D25"/>
  <c r="Y17" l="1"/>
  <c r="Z17" s="1"/>
  <c r="W17"/>
  <c r="X17" s="1"/>
  <c r="U17"/>
  <c r="V17" s="1"/>
  <c r="S17"/>
  <c r="T17" s="1"/>
  <c r="Q17"/>
  <c r="R17" s="1"/>
  <c r="O17"/>
  <c r="P17" s="1"/>
  <c r="M17"/>
  <c r="N17" s="1"/>
  <c r="K17"/>
  <c r="L17" s="1"/>
  <c r="I17"/>
  <c r="J17" s="1"/>
  <c r="G17"/>
  <c r="H17" s="1"/>
  <c r="E17"/>
  <c r="F17" s="1"/>
  <c r="C17"/>
  <c r="D17" s="1"/>
  <c r="O17" i="19"/>
  <c r="C17"/>
  <c r="Y17"/>
  <c r="Y17" i="26"/>
  <c r="Y21" s="1"/>
  <c r="W17"/>
  <c r="X17" s="1"/>
  <c r="U17"/>
  <c r="V17" s="1"/>
  <c r="S17"/>
  <c r="T17" s="1"/>
  <c r="Q17"/>
  <c r="Q21" s="1"/>
  <c r="O17"/>
  <c r="P17" s="1"/>
  <c r="M17"/>
  <c r="N17" s="1"/>
  <c r="K17"/>
  <c r="L17" s="1"/>
  <c r="I17"/>
  <c r="I21" s="1"/>
  <c r="G17"/>
  <c r="H17" s="1"/>
  <c r="E17"/>
  <c r="F17" s="1"/>
  <c r="C17"/>
  <c r="D17" s="1"/>
  <c r="W17" i="1"/>
  <c r="Q17"/>
  <c r="O17"/>
  <c r="M17"/>
  <c r="G17"/>
  <c r="C17"/>
  <c r="Y17"/>
  <c r="U17"/>
  <c r="E17"/>
  <c r="W17" i="19"/>
  <c r="U17"/>
  <c r="S17"/>
  <c r="M17"/>
  <c r="I17"/>
  <c r="G17"/>
  <c r="E17"/>
  <c r="K17" i="1"/>
  <c r="I17"/>
  <c r="Y76" i="26"/>
  <c r="W76"/>
  <c r="W21"/>
  <c r="U76"/>
  <c r="S76"/>
  <c r="S21"/>
  <c r="Q76"/>
  <c r="O76"/>
  <c r="O21"/>
  <c r="M76"/>
  <c r="K76"/>
  <c r="K21"/>
  <c r="I76"/>
  <c r="G76"/>
  <c r="G21"/>
  <c r="E76"/>
  <c r="C76"/>
  <c r="C21"/>
  <c r="Q17" i="5"/>
  <c r="M17"/>
  <c r="K17"/>
  <c r="I17"/>
  <c r="G17"/>
  <c r="E17"/>
  <c r="C17"/>
  <c r="AA114" i="26"/>
  <c r="AC114"/>
  <c r="AD114"/>
  <c r="AB114"/>
  <c r="Z114"/>
  <c r="X114"/>
  <c r="V114"/>
  <c r="T114"/>
  <c r="R114"/>
  <c r="P114"/>
  <c r="N114"/>
  <c r="L114"/>
  <c r="J114"/>
  <c r="H114"/>
  <c r="F114"/>
  <c r="D114"/>
  <c r="AA113"/>
  <c r="AC113"/>
  <c r="AD113"/>
  <c r="AB113"/>
  <c r="Z113"/>
  <c r="X113"/>
  <c r="V113"/>
  <c r="T113"/>
  <c r="R113"/>
  <c r="P113"/>
  <c r="N113"/>
  <c r="L113"/>
  <c r="J113"/>
  <c r="H113"/>
  <c r="F113"/>
  <c r="D113"/>
  <c r="AA112"/>
  <c r="AC112"/>
  <c r="AD112"/>
  <c r="AB112"/>
  <c r="Z112"/>
  <c r="X112"/>
  <c r="V112"/>
  <c r="T112"/>
  <c r="R112"/>
  <c r="P112"/>
  <c r="N112"/>
  <c r="L112"/>
  <c r="J112"/>
  <c r="H112"/>
  <c r="F112"/>
  <c r="D112"/>
  <c r="AA111"/>
  <c r="AC111"/>
  <c r="AD111"/>
  <c r="AB111"/>
  <c r="Z111"/>
  <c r="X111"/>
  <c r="V111"/>
  <c r="T111"/>
  <c r="R111"/>
  <c r="P111"/>
  <c r="N111"/>
  <c r="L111"/>
  <c r="J111"/>
  <c r="H111"/>
  <c r="F111"/>
  <c r="D111"/>
  <c r="AA110"/>
  <c r="AC110"/>
  <c r="AD110"/>
  <c r="AB110"/>
  <c r="Z110"/>
  <c r="X110"/>
  <c r="V110"/>
  <c r="T110"/>
  <c r="R110"/>
  <c r="P110"/>
  <c r="N110"/>
  <c r="L110"/>
  <c r="J110"/>
  <c r="H110"/>
  <c r="F110"/>
  <c r="D110"/>
  <c r="M109"/>
  <c r="AA109"/>
  <c r="AC109"/>
  <c r="AD109"/>
  <c r="AB109"/>
  <c r="Z109"/>
  <c r="X109"/>
  <c r="V109"/>
  <c r="T109"/>
  <c r="R109"/>
  <c r="P109"/>
  <c r="N109"/>
  <c r="L109"/>
  <c r="J109"/>
  <c r="H109"/>
  <c r="F109"/>
  <c r="D109"/>
  <c r="AA108"/>
  <c r="AC108"/>
  <c r="AD108"/>
  <c r="AB108"/>
  <c r="Z108"/>
  <c r="X108"/>
  <c r="V108"/>
  <c r="T108"/>
  <c r="R108"/>
  <c r="P108"/>
  <c r="N108"/>
  <c r="L108"/>
  <c r="J108"/>
  <c r="H108"/>
  <c r="F108"/>
  <c r="D108"/>
  <c r="AA107"/>
  <c r="AC107"/>
  <c r="AD107"/>
  <c r="AB107"/>
  <c r="Z107"/>
  <c r="X107"/>
  <c r="V107"/>
  <c r="T107"/>
  <c r="R107"/>
  <c r="P107"/>
  <c r="N107"/>
  <c r="L107"/>
  <c r="J107"/>
  <c r="H107"/>
  <c r="F107"/>
  <c r="D107"/>
  <c r="AA106"/>
  <c r="AC106"/>
  <c r="AD106"/>
  <c r="AB106"/>
  <c r="Z106"/>
  <c r="X106"/>
  <c r="V106"/>
  <c r="T106"/>
  <c r="R106"/>
  <c r="P106"/>
  <c r="N106"/>
  <c r="L106"/>
  <c r="J106"/>
  <c r="H106"/>
  <c r="F106"/>
  <c r="D106"/>
  <c r="AA105"/>
  <c r="AC105"/>
  <c r="AD105"/>
  <c r="AB105"/>
  <c r="Z105"/>
  <c r="X105"/>
  <c r="V105"/>
  <c r="T105"/>
  <c r="R105"/>
  <c r="P105"/>
  <c r="N105"/>
  <c r="L105"/>
  <c r="J105"/>
  <c r="H105"/>
  <c r="F105"/>
  <c r="D105"/>
  <c r="AA104"/>
  <c r="AC104"/>
  <c r="AD104"/>
  <c r="AB104"/>
  <c r="Z104"/>
  <c r="X104"/>
  <c r="V104"/>
  <c r="T104"/>
  <c r="R104"/>
  <c r="P104"/>
  <c r="N104"/>
  <c r="L104"/>
  <c r="J104"/>
  <c r="H104"/>
  <c r="F104"/>
  <c r="D104"/>
  <c r="AA103"/>
  <c r="AC103"/>
  <c r="AD103"/>
  <c r="AB103"/>
  <c r="Z103"/>
  <c r="X103"/>
  <c r="V103"/>
  <c r="T103"/>
  <c r="R103"/>
  <c r="P103"/>
  <c r="N103"/>
  <c r="L103"/>
  <c r="J103"/>
  <c r="H103"/>
  <c r="F103"/>
  <c r="D103"/>
  <c r="AA102"/>
  <c r="AC102"/>
  <c r="AD102"/>
  <c r="AB102"/>
  <c r="Z102"/>
  <c r="X102"/>
  <c r="V102"/>
  <c r="T102"/>
  <c r="R102"/>
  <c r="P102"/>
  <c r="N102"/>
  <c r="L102"/>
  <c r="J102"/>
  <c r="H102"/>
  <c r="F102"/>
  <c r="D102"/>
  <c r="AA101"/>
  <c r="AC101"/>
  <c r="AD101"/>
  <c r="AB101"/>
  <c r="Z101"/>
  <c r="X101"/>
  <c r="V101"/>
  <c r="T101"/>
  <c r="R101"/>
  <c r="P101"/>
  <c r="N101"/>
  <c r="L101"/>
  <c r="J101"/>
  <c r="H101"/>
  <c r="F101"/>
  <c r="D101"/>
  <c r="AA100"/>
  <c r="AC100"/>
  <c r="AD100"/>
  <c r="AB100"/>
  <c r="Z100"/>
  <c r="X100"/>
  <c r="V100"/>
  <c r="T100"/>
  <c r="R100"/>
  <c r="P100"/>
  <c r="N100"/>
  <c r="L100"/>
  <c r="J100"/>
  <c r="H100"/>
  <c r="F100"/>
  <c r="D100"/>
  <c r="AA99"/>
  <c r="AC99"/>
  <c r="AD99"/>
  <c r="AB99"/>
  <c r="Z99"/>
  <c r="X99"/>
  <c r="V99"/>
  <c r="T99"/>
  <c r="R99"/>
  <c r="P99"/>
  <c r="N99"/>
  <c r="L99"/>
  <c r="J99"/>
  <c r="H99"/>
  <c r="F99"/>
  <c r="D99"/>
  <c r="AA98"/>
  <c r="AC98"/>
  <c r="AD98"/>
  <c r="AB98"/>
  <c r="Z98"/>
  <c r="X98"/>
  <c r="V98"/>
  <c r="T98"/>
  <c r="R98"/>
  <c r="P98"/>
  <c r="N98"/>
  <c r="L98"/>
  <c r="J98"/>
  <c r="H98"/>
  <c r="F98"/>
  <c r="D98"/>
  <c r="AA97"/>
  <c r="AC97"/>
  <c r="AD97"/>
  <c r="AB97"/>
  <c r="Z97"/>
  <c r="X97"/>
  <c r="V97"/>
  <c r="T97"/>
  <c r="R97"/>
  <c r="P97"/>
  <c r="N97"/>
  <c r="L97"/>
  <c r="J97"/>
  <c r="H97"/>
  <c r="F97"/>
  <c r="D97"/>
  <c r="AA96"/>
  <c r="AC96"/>
  <c r="AD96"/>
  <c r="AB96"/>
  <c r="Z96"/>
  <c r="X96"/>
  <c r="V96"/>
  <c r="T96"/>
  <c r="R96"/>
  <c r="P96"/>
  <c r="N96"/>
  <c r="L96"/>
  <c r="J96"/>
  <c r="H96"/>
  <c r="F96"/>
  <c r="D96"/>
  <c r="AA95"/>
  <c r="AC95"/>
  <c r="AD95"/>
  <c r="AB95"/>
  <c r="Z95"/>
  <c r="X95"/>
  <c r="V95"/>
  <c r="T95"/>
  <c r="R95"/>
  <c r="P95"/>
  <c r="N95"/>
  <c r="L95"/>
  <c r="J95"/>
  <c r="H95"/>
  <c r="F95"/>
  <c r="D95"/>
  <c r="AA94"/>
  <c r="AC94"/>
  <c r="AD94"/>
  <c r="AB94"/>
  <c r="Z94"/>
  <c r="X94"/>
  <c r="V94"/>
  <c r="T94"/>
  <c r="R94"/>
  <c r="P94"/>
  <c r="N94"/>
  <c r="L94"/>
  <c r="J94"/>
  <c r="H94"/>
  <c r="F94"/>
  <c r="D94"/>
  <c r="AA114" i="25"/>
  <c r="AC114"/>
  <c r="AD114"/>
  <c r="AB114"/>
  <c r="Z114"/>
  <c r="X114"/>
  <c r="V114"/>
  <c r="T114"/>
  <c r="R114"/>
  <c r="P114"/>
  <c r="N114"/>
  <c r="L114"/>
  <c r="J114"/>
  <c r="H114"/>
  <c r="F114"/>
  <c r="D114"/>
  <c r="AA113"/>
  <c r="AC113"/>
  <c r="AD113"/>
  <c r="AB113"/>
  <c r="Z113"/>
  <c r="X113"/>
  <c r="V113"/>
  <c r="T113"/>
  <c r="R113"/>
  <c r="P113"/>
  <c r="N113"/>
  <c r="L113"/>
  <c r="J113"/>
  <c r="H113"/>
  <c r="F113"/>
  <c r="D113"/>
  <c r="AA112"/>
  <c r="AC112"/>
  <c r="AD112"/>
  <c r="AB112"/>
  <c r="Z112"/>
  <c r="X112"/>
  <c r="V112"/>
  <c r="T112"/>
  <c r="R112"/>
  <c r="P112"/>
  <c r="N112"/>
  <c r="L112"/>
  <c r="J112"/>
  <c r="H112"/>
  <c r="F112"/>
  <c r="D112"/>
  <c r="AA111"/>
  <c r="AC111"/>
  <c r="AD111"/>
  <c r="AB111"/>
  <c r="Z111"/>
  <c r="X111"/>
  <c r="V111"/>
  <c r="T111"/>
  <c r="R111"/>
  <c r="P111"/>
  <c r="N111"/>
  <c r="L111"/>
  <c r="J111"/>
  <c r="H111"/>
  <c r="F111"/>
  <c r="D111"/>
  <c r="AA110"/>
  <c r="AC110"/>
  <c r="AD110"/>
  <c r="AB110"/>
  <c r="Z110"/>
  <c r="X110"/>
  <c r="V110"/>
  <c r="T110"/>
  <c r="R110"/>
  <c r="P110"/>
  <c r="N110"/>
  <c r="L110"/>
  <c r="J110"/>
  <c r="H110"/>
  <c r="F110"/>
  <c r="D110"/>
  <c r="M109"/>
  <c r="S109"/>
  <c r="AA109"/>
  <c r="AC109"/>
  <c r="AD109"/>
  <c r="AB109"/>
  <c r="Z109"/>
  <c r="X109"/>
  <c r="V109"/>
  <c r="T109"/>
  <c r="R109"/>
  <c r="P109"/>
  <c r="N109"/>
  <c r="L109"/>
  <c r="J109"/>
  <c r="H109"/>
  <c r="F109"/>
  <c r="D109"/>
  <c r="AA108"/>
  <c r="AC108"/>
  <c r="AD108"/>
  <c r="AB108"/>
  <c r="Z108"/>
  <c r="X108"/>
  <c r="V108"/>
  <c r="T108"/>
  <c r="R108"/>
  <c r="P108"/>
  <c r="N108"/>
  <c r="L108"/>
  <c r="J108"/>
  <c r="H108"/>
  <c r="F108"/>
  <c r="D108"/>
  <c r="AA107"/>
  <c r="AC107"/>
  <c r="AD107"/>
  <c r="AB107"/>
  <c r="Z107"/>
  <c r="X107"/>
  <c r="V107"/>
  <c r="T107"/>
  <c r="R107"/>
  <c r="P107"/>
  <c r="N107"/>
  <c r="L107"/>
  <c r="J107"/>
  <c r="H107"/>
  <c r="F107"/>
  <c r="D107"/>
  <c r="AA106"/>
  <c r="AC106"/>
  <c r="AD106"/>
  <c r="AB106"/>
  <c r="Z106"/>
  <c r="X106"/>
  <c r="V106"/>
  <c r="T106"/>
  <c r="R106"/>
  <c r="P106"/>
  <c r="N106"/>
  <c r="L106"/>
  <c r="J106"/>
  <c r="H106"/>
  <c r="F106"/>
  <c r="D106"/>
  <c r="AA105"/>
  <c r="AC105"/>
  <c r="AD105"/>
  <c r="AB105"/>
  <c r="Z105"/>
  <c r="X105"/>
  <c r="V105"/>
  <c r="T105"/>
  <c r="R105"/>
  <c r="P105"/>
  <c r="N105"/>
  <c r="L105"/>
  <c r="J105"/>
  <c r="H105"/>
  <c r="F105"/>
  <c r="D105"/>
  <c r="AA104"/>
  <c r="AC104"/>
  <c r="AD104"/>
  <c r="AB104"/>
  <c r="Z104"/>
  <c r="X104"/>
  <c r="V104"/>
  <c r="T104"/>
  <c r="R104"/>
  <c r="P104"/>
  <c r="N104"/>
  <c r="L104"/>
  <c r="J104"/>
  <c r="H104"/>
  <c r="F104"/>
  <c r="D104"/>
  <c r="AA103"/>
  <c r="AC103"/>
  <c r="AD103"/>
  <c r="AB103"/>
  <c r="Z103"/>
  <c r="X103"/>
  <c r="V103"/>
  <c r="T103"/>
  <c r="R103"/>
  <c r="P103"/>
  <c r="N103"/>
  <c r="L103"/>
  <c r="J103"/>
  <c r="H103"/>
  <c r="F103"/>
  <c r="D103"/>
  <c r="AA102"/>
  <c r="AC102"/>
  <c r="AD102"/>
  <c r="AB102"/>
  <c r="Z102"/>
  <c r="X102"/>
  <c r="V102"/>
  <c r="T102"/>
  <c r="R102"/>
  <c r="P102"/>
  <c r="N102"/>
  <c r="L102"/>
  <c r="J102"/>
  <c r="H102"/>
  <c r="F102"/>
  <c r="D102"/>
  <c r="AA101"/>
  <c r="AC101"/>
  <c r="AD101"/>
  <c r="AB101"/>
  <c r="Z101"/>
  <c r="X101"/>
  <c r="V101"/>
  <c r="T101"/>
  <c r="R101"/>
  <c r="P101"/>
  <c r="N101"/>
  <c r="L101"/>
  <c r="J101"/>
  <c r="H101"/>
  <c r="F101"/>
  <c r="D101"/>
  <c r="AA100"/>
  <c r="AC100"/>
  <c r="AD100"/>
  <c r="AB100"/>
  <c r="Z100"/>
  <c r="X100"/>
  <c r="V100"/>
  <c r="T100"/>
  <c r="R100"/>
  <c r="P100"/>
  <c r="N100"/>
  <c r="L100"/>
  <c r="J100"/>
  <c r="H100"/>
  <c r="F100"/>
  <c r="D100"/>
  <c r="AA99"/>
  <c r="AC99"/>
  <c r="AD99"/>
  <c r="AB99"/>
  <c r="Z99"/>
  <c r="X99"/>
  <c r="V99"/>
  <c r="T99"/>
  <c r="R99"/>
  <c r="P99"/>
  <c r="N99"/>
  <c r="L99"/>
  <c r="J99"/>
  <c r="H99"/>
  <c r="F99"/>
  <c r="D99"/>
  <c r="AA98"/>
  <c r="AC98"/>
  <c r="AD98"/>
  <c r="AB98"/>
  <c r="Z98"/>
  <c r="X98"/>
  <c r="V98"/>
  <c r="T98"/>
  <c r="R98"/>
  <c r="P98"/>
  <c r="N98"/>
  <c r="L98"/>
  <c r="J98"/>
  <c r="H98"/>
  <c r="F98"/>
  <c r="D98"/>
  <c r="AA97"/>
  <c r="AC97"/>
  <c r="AD97"/>
  <c r="AB97"/>
  <c r="Z97"/>
  <c r="X97"/>
  <c r="V97"/>
  <c r="T97"/>
  <c r="R97"/>
  <c r="P97"/>
  <c r="N97"/>
  <c r="L97"/>
  <c r="J97"/>
  <c r="H97"/>
  <c r="F97"/>
  <c r="D97"/>
  <c r="AA96"/>
  <c r="AC96"/>
  <c r="AD96"/>
  <c r="AB96"/>
  <c r="Z96"/>
  <c r="X96"/>
  <c r="V96"/>
  <c r="T96"/>
  <c r="R96"/>
  <c r="P96"/>
  <c r="N96"/>
  <c r="L96"/>
  <c r="J96"/>
  <c r="H96"/>
  <c r="F96"/>
  <c r="D96"/>
  <c r="AA95"/>
  <c r="AC95"/>
  <c r="AD95"/>
  <c r="AB95"/>
  <c r="Z95"/>
  <c r="X95"/>
  <c r="V95"/>
  <c r="T95"/>
  <c r="R95"/>
  <c r="P95"/>
  <c r="N95"/>
  <c r="L95"/>
  <c r="J95"/>
  <c r="H95"/>
  <c r="F95"/>
  <c r="D95"/>
  <c r="AA94"/>
  <c r="AC94"/>
  <c r="AD94"/>
  <c r="AB94"/>
  <c r="Z94"/>
  <c r="X94"/>
  <c r="V94"/>
  <c r="T94"/>
  <c r="R94"/>
  <c r="P94"/>
  <c r="N94"/>
  <c r="L94"/>
  <c r="J94"/>
  <c r="H94"/>
  <c r="F94"/>
  <c r="D94"/>
  <c r="AA114" i="19"/>
  <c r="AC114"/>
  <c r="AA10"/>
  <c r="AC10"/>
  <c r="AC12"/>
  <c r="AD114"/>
  <c r="AA12"/>
  <c r="AB114"/>
  <c r="Z114"/>
  <c r="X114"/>
  <c r="V114"/>
  <c r="T114"/>
  <c r="R114"/>
  <c r="P114"/>
  <c r="N114"/>
  <c r="L114"/>
  <c r="J114"/>
  <c r="H114"/>
  <c r="F114"/>
  <c r="C12"/>
  <c r="D114"/>
  <c r="AA113"/>
  <c r="AC113"/>
  <c r="AD113"/>
  <c r="AB113"/>
  <c r="Z113"/>
  <c r="X113"/>
  <c r="V113"/>
  <c r="T113"/>
  <c r="R113"/>
  <c r="P113"/>
  <c r="N113"/>
  <c r="L113"/>
  <c r="J113"/>
  <c r="H113"/>
  <c r="F113"/>
  <c r="D113"/>
  <c r="AA112"/>
  <c r="AC112"/>
  <c r="AD112"/>
  <c r="AB112"/>
  <c r="Z112"/>
  <c r="X112"/>
  <c r="V112"/>
  <c r="T112"/>
  <c r="R112"/>
  <c r="P112"/>
  <c r="N112"/>
  <c r="L112"/>
  <c r="J112"/>
  <c r="H112"/>
  <c r="F112"/>
  <c r="D112"/>
  <c r="AA111"/>
  <c r="AC111"/>
  <c r="AD111"/>
  <c r="AB111"/>
  <c r="Z111"/>
  <c r="X111"/>
  <c r="V111"/>
  <c r="T111"/>
  <c r="R111"/>
  <c r="P111"/>
  <c r="N111"/>
  <c r="L111"/>
  <c r="J111"/>
  <c r="H111"/>
  <c r="F111"/>
  <c r="D111"/>
  <c r="AA110"/>
  <c r="AC110"/>
  <c r="AD110"/>
  <c r="AB110"/>
  <c r="Z110"/>
  <c r="X110"/>
  <c r="V110"/>
  <c r="T110"/>
  <c r="R110"/>
  <c r="P110"/>
  <c r="N110"/>
  <c r="L110"/>
  <c r="J110"/>
  <c r="H110"/>
  <c r="F110"/>
  <c r="D110"/>
  <c r="M109"/>
  <c r="S109"/>
  <c r="AA109"/>
  <c r="AC109"/>
  <c r="AD109"/>
  <c r="AB109"/>
  <c r="Z109"/>
  <c r="X109"/>
  <c r="V109"/>
  <c r="T109"/>
  <c r="R109"/>
  <c r="P109"/>
  <c r="N109"/>
  <c r="L109"/>
  <c r="J109"/>
  <c r="H109"/>
  <c r="F109"/>
  <c r="D109"/>
  <c r="AA108"/>
  <c r="AC108"/>
  <c r="AD108"/>
  <c r="AB108"/>
  <c r="Z108"/>
  <c r="X108"/>
  <c r="V108"/>
  <c r="T108"/>
  <c r="R108"/>
  <c r="P108"/>
  <c r="N108"/>
  <c r="L108"/>
  <c r="J108"/>
  <c r="H108"/>
  <c r="F108"/>
  <c r="D108"/>
  <c r="AA107"/>
  <c r="AC107"/>
  <c r="AD107"/>
  <c r="AB107"/>
  <c r="Z107"/>
  <c r="X107"/>
  <c r="V107"/>
  <c r="T107"/>
  <c r="R107"/>
  <c r="P107"/>
  <c r="N107"/>
  <c r="L107"/>
  <c r="J107"/>
  <c r="H107"/>
  <c r="F107"/>
  <c r="D107"/>
  <c r="AA106"/>
  <c r="AC106"/>
  <c r="AD106"/>
  <c r="AB106"/>
  <c r="Z106"/>
  <c r="X106"/>
  <c r="V106"/>
  <c r="T106"/>
  <c r="R106"/>
  <c r="P106"/>
  <c r="N106"/>
  <c r="L106"/>
  <c r="J106"/>
  <c r="H106"/>
  <c r="F106"/>
  <c r="D106"/>
  <c r="AA105"/>
  <c r="AC105"/>
  <c r="AD105"/>
  <c r="AB105"/>
  <c r="Z105"/>
  <c r="X105"/>
  <c r="V105"/>
  <c r="T105"/>
  <c r="R105"/>
  <c r="P105"/>
  <c r="N105"/>
  <c r="L105"/>
  <c r="J105"/>
  <c r="H105"/>
  <c r="F105"/>
  <c r="D105"/>
  <c r="AA104"/>
  <c r="AC104"/>
  <c r="AD104"/>
  <c r="AB104"/>
  <c r="Z104"/>
  <c r="X104"/>
  <c r="V104"/>
  <c r="T104"/>
  <c r="R104"/>
  <c r="P104"/>
  <c r="N104"/>
  <c r="L104"/>
  <c r="J104"/>
  <c r="H104"/>
  <c r="F104"/>
  <c r="D104"/>
  <c r="AA103"/>
  <c r="AC103"/>
  <c r="AD103"/>
  <c r="AB103"/>
  <c r="Z103"/>
  <c r="X103"/>
  <c r="V103"/>
  <c r="T103"/>
  <c r="R103"/>
  <c r="P103"/>
  <c r="N103"/>
  <c r="L103"/>
  <c r="J103"/>
  <c r="H103"/>
  <c r="F103"/>
  <c r="D103"/>
  <c r="AA102"/>
  <c r="AC102"/>
  <c r="AD102"/>
  <c r="AB102"/>
  <c r="Z102"/>
  <c r="X102"/>
  <c r="V102"/>
  <c r="T102"/>
  <c r="R102"/>
  <c r="P102"/>
  <c r="N102"/>
  <c r="L102"/>
  <c r="J102"/>
  <c r="H102"/>
  <c r="F102"/>
  <c r="D102"/>
  <c r="AA101"/>
  <c r="AC101"/>
  <c r="AD101"/>
  <c r="AB101"/>
  <c r="Z101"/>
  <c r="X101"/>
  <c r="V101"/>
  <c r="T101"/>
  <c r="R101"/>
  <c r="P101"/>
  <c r="N101"/>
  <c r="L101"/>
  <c r="J101"/>
  <c r="H101"/>
  <c r="F101"/>
  <c r="D101"/>
  <c r="AA100"/>
  <c r="AC100"/>
  <c r="AD100"/>
  <c r="AB100"/>
  <c r="Z100"/>
  <c r="X100"/>
  <c r="V100"/>
  <c r="T100"/>
  <c r="R100"/>
  <c r="P100"/>
  <c r="N100"/>
  <c r="L100"/>
  <c r="J100"/>
  <c r="H100"/>
  <c r="F100"/>
  <c r="D100"/>
  <c r="AA99"/>
  <c r="AC99"/>
  <c r="AD99"/>
  <c r="AB99"/>
  <c r="Z99"/>
  <c r="X99"/>
  <c r="V99"/>
  <c r="T99"/>
  <c r="R99"/>
  <c r="P99"/>
  <c r="N99"/>
  <c r="L99"/>
  <c r="J99"/>
  <c r="H99"/>
  <c r="F99"/>
  <c r="D99"/>
  <c r="AA98"/>
  <c r="AC98"/>
  <c r="AD98"/>
  <c r="AB98"/>
  <c r="Z98"/>
  <c r="X98"/>
  <c r="V98"/>
  <c r="T98"/>
  <c r="R98"/>
  <c r="P98"/>
  <c r="N98"/>
  <c r="L98"/>
  <c r="J98"/>
  <c r="H98"/>
  <c r="F98"/>
  <c r="D98"/>
  <c r="AA97"/>
  <c r="AC97"/>
  <c r="AD97"/>
  <c r="AB97"/>
  <c r="Z97"/>
  <c r="X97"/>
  <c r="V97"/>
  <c r="T97"/>
  <c r="R97"/>
  <c r="P97"/>
  <c r="N97"/>
  <c r="L97"/>
  <c r="J97"/>
  <c r="H97"/>
  <c r="F97"/>
  <c r="D97"/>
  <c r="AA96"/>
  <c r="AC96"/>
  <c r="AD96"/>
  <c r="AB96"/>
  <c r="Z96"/>
  <c r="X96"/>
  <c r="V96"/>
  <c r="T96"/>
  <c r="R96"/>
  <c r="P96"/>
  <c r="N96"/>
  <c r="L96"/>
  <c r="J96"/>
  <c r="H96"/>
  <c r="F96"/>
  <c r="D96"/>
  <c r="AA95"/>
  <c r="AC95"/>
  <c r="AD95"/>
  <c r="AB95"/>
  <c r="Z95"/>
  <c r="X95"/>
  <c r="V95"/>
  <c r="T95"/>
  <c r="R95"/>
  <c r="P95"/>
  <c r="N95"/>
  <c r="L95"/>
  <c r="J95"/>
  <c r="H95"/>
  <c r="F95"/>
  <c r="D95"/>
  <c r="AA94"/>
  <c r="AC94"/>
  <c r="AD94"/>
  <c r="AB94"/>
  <c r="Z94"/>
  <c r="X94"/>
  <c r="V94"/>
  <c r="T94"/>
  <c r="R94"/>
  <c r="P94"/>
  <c r="N94"/>
  <c r="L94"/>
  <c r="J94"/>
  <c r="H94"/>
  <c r="F94"/>
  <c r="D94"/>
  <c r="AA114" i="5"/>
  <c r="AC114"/>
  <c r="AD114"/>
  <c r="AB114"/>
  <c r="Z114"/>
  <c r="X114"/>
  <c r="V114"/>
  <c r="T114"/>
  <c r="R114"/>
  <c r="P114"/>
  <c r="N114"/>
  <c r="L114"/>
  <c r="J114"/>
  <c r="H114"/>
  <c r="F114"/>
  <c r="D114"/>
  <c r="AA113"/>
  <c r="AC113"/>
  <c r="AD113"/>
  <c r="AB113"/>
  <c r="Z113"/>
  <c r="X113"/>
  <c r="V113"/>
  <c r="T113"/>
  <c r="R113"/>
  <c r="P113"/>
  <c r="N113"/>
  <c r="L113"/>
  <c r="J113"/>
  <c r="H113"/>
  <c r="F113"/>
  <c r="D113"/>
  <c r="AA112"/>
  <c r="AC112"/>
  <c r="AD112"/>
  <c r="AB112"/>
  <c r="Z112"/>
  <c r="X112"/>
  <c r="V112"/>
  <c r="T112"/>
  <c r="R112"/>
  <c r="P112"/>
  <c r="N112"/>
  <c r="L112"/>
  <c r="J112"/>
  <c r="H112"/>
  <c r="F112"/>
  <c r="D112"/>
  <c r="AA111"/>
  <c r="AC111"/>
  <c r="AD111"/>
  <c r="AB111"/>
  <c r="Z111"/>
  <c r="X111"/>
  <c r="V111"/>
  <c r="T111"/>
  <c r="R111"/>
  <c r="P111"/>
  <c r="N111"/>
  <c r="L111"/>
  <c r="J111"/>
  <c r="H111"/>
  <c r="F111"/>
  <c r="D111"/>
  <c r="AA110"/>
  <c r="AC110"/>
  <c r="AD110"/>
  <c r="AB110"/>
  <c r="Z110"/>
  <c r="X110"/>
  <c r="V110"/>
  <c r="T110"/>
  <c r="R110"/>
  <c r="P110"/>
  <c r="N110"/>
  <c r="L110"/>
  <c r="J110"/>
  <c r="H110"/>
  <c r="F110"/>
  <c r="D110"/>
  <c r="AA109"/>
  <c r="AC109"/>
  <c r="AD109"/>
  <c r="AB109"/>
  <c r="Z109"/>
  <c r="X109"/>
  <c r="V109"/>
  <c r="T109"/>
  <c r="R109"/>
  <c r="P109"/>
  <c r="N109"/>
  <c r="L109"/>
  <c r="J109"/>
  <c r="H109"/>
  <c r="F109"/>
  <c r="D109"/>
  <c r="AA108"/>
  <c r="AC108"/>
  <c r="AD108"/>
  <c r="AB108"/>
  <c r="Z108"/>
  <c r="X108"/>
  <c r="V108"/>
  <c r="T108"/>
  <c r="R108"/>
  <c r="P108"/>
  <c r="N108"/>
  <c r="L108"/>
  <c r="J108"/>
  <c r="H108"/>
  <c r="F108"/>
  <c r="D108"/>
  <c r="AA107"/>
  <c r="AC107"/>
  <c r="AD107"/>
  <c r="AB107"/>
  <c r="Z107"/>
  <c r="X107"/>
  <c r="V107"/>
  <c r="T107"/>
  <c r="R107"/>
  <c r="P107"/>
  <c r="N107"/>
  <c r="L107"/>
  <c r="J107"/>
  <c r="H107"/>
  <c r="F107"/>
  <c r="D107"/>
  <c r="AA106"/>
  <c r="AC106"/>
  <c r="AD106"/>
  <c r="AB106"/>
  <c r="Z106"/>
  <c r="X106"/>
  <c r="V106"/>
  <c r="T106"/>
  <c r="R106"/>
  <c r="P106"/>
  <c r="N106"/>
  <c r="L106"/>
  <c r="J106"/>
  <c r="H106"/>
  <c r="F106"/>
  <c r="D106"/>
  <c r="AA105"/>
  <c r="AC105"/>
  <c r="AD105"/>
  <c r="AB105"/>
  <c r="Z105"/>
  <c r="X105"/>
  <c r="V105"/>
  <c r="T105"/>
  <c r="R105"/>
  <c r="P105"/>
  <c r="N105"/>
  <c r="L105"/>
  <c r="J105"/>
  <c r="H105"/>
  <c r="F105"/>
  <c r="D105"/>
  <c r="AA104"/>
  <c r="AC104"/>
  <c r="AD104"/>
  <c r="AB104"/>
  <c r="Z104"/>
  <c r="X104"/>
  <c r="V104"/>
  <c r="T104"/>
  <c r="R104"/>
  <c r="P104"/>
  <c r="N104"/>
  <c r="L104"/>
  <c r="J104"/>
  <c r="H104"/>
  <c r="F104"/>
  <c r="D104"/>
  <c r="AA103"/>
  <c r="AC103"/>
  <c r="AD103"/>
  <c r="AB103"/>
  <c r="Z103"/>
  <c r="X103"/>
  <c r="V103"/>
  <c r="T103"/>
  <c r="R103"/>
  <c r="P103"/>
  <c r="N103"/>
  <c r="L103"/>
  <c r="J103"/>
  <c r="H103"/>
  <c r="F103"/>
  <c r="D103"/>
  <c r="AA102"/>
  <c r="AC102"/>
  <c r="AD102"/>
  <c r="AB102"/>
  <c r="Z102"/>
  <c r="X102"/>
  <c r="V102"/>
  <c r="T102"/>
  <c r="R102"/>
  <c r="P102"/>
  <c r="N102"/>
  <c r="L102"/>
  <c r="J102"/>
  <c r="H102"/>
  <c r="F102"/>
  <c r="D102"/>
  <c r="AA101"/>
  <c r="AC101"/>
  <c r="AD101"/>
  <c r="AB101"/>
  <c r="Z101"/>
  <c r="X101"/>
  <c r="V101"/>
  <c r="T101"/>
  <c r="R101"/>
  <c r="P101"/>
  <c r="N101"/>
  <c r="L101"/>
  <c r="J101"/>
  <c r="H101"/>
  <c r="F101"/>
  <c r="D101"/>
  <c r="AA100"/>
  <c r="AC100"/>
  <c r="AD100"/>
  <c r="AB100"/>
  <c r="Z100"/>
  <c r="X100"/>
  <c r="V100"/>
  <c r="T100"/>
  <c r="R100"/>
  <c r="P100"/>
  <c r="N100"/>
  <c r="L100"/>
  <c r="J100"/>
  <c r="H100"/>
  <c r="F100"/>
  <c r="D100"/>
  <c r="AA99"/>
  <c r="AC99"/>
  <c r="AD99"/>
  <c r="AB99"/>
  <c r="Z99"/>
  <c r="X99"/>
  <c r="V99"/>
  <c r="T99"/>
  <c r="R99"/>
  <c r="P99"/>
  <c r="N99"/>
  <c r="L99"/>
  <c r="J99"/>
  <c r="H99"/>
  <c r="F99"/>
  <c r="D99"/>
  <c r="AA98"/>
  <c r="AC98"/>
  <c r="AD98"/>
  <c r="AB98"/>
  <c r="Z98"/>
  <c r="X98"/>
  <c r="V98"/>
  <c r="T98"/>
  <c r="R98"/>
  <c r="P98"/>
  <c r="N98"/>
  <c r="L98"/>
  <c r="J98"/>
  <c r="H98"/>
  <c r="F98"/>
  <c r="D98"/>
  <c r="AA97"/>
  <c r="AC97"/>
  <c r="AD97"/>
  <c r="AB97"/>
  <c r="Z97"/>
  <c r="X97"/>
  <c r="V97"/>
  <c r="T97"/>
  <c r="R97"/>
  <c r="P97"/>
  <c r="N97"/>
  <c r="L97"/>
  <c r="J97"/>
  <c r="H97"/>
  <c r="F97"/>
  <c r="D97"/>
  <c r="AA96"/>
  <c r="AC96"/>
  <c r="AD96"/>
  <c r="AB96"/>
  <c r="Z96"/>
  <c r="X96"/>
  <c r="V96"/>
  <c r="T96"/>
  <c r="R96"/>
  <c r="P96"/>
  <c r="N96"/>
  <c r="L96"/>
  <c r="J96"/>
  <c r="H96"/>
  <c r="F96"/>
  <c r="D96"/>
  <c r="AA95"/>
  <c r="AC95"/>
  <c r="AD95"/>
  <c r="AB95"/>
  <c r="Z95"/>
  <c r="X95"/>
  <c r="V95"/>
  <c r="T95"/>
  <c r="R95"/>
  <c r="P95"/>
  <c r="N95"/>
  <c r="L95"/>
  <c r="J95"/>
  <c r="H95"/>
  <c r="F95"/>
  <c r="D95"/>
  <c r="AA94"/>
  <c r="AC94"/>
  <c r="AD94"/>
  <c r="AB94"/>
  <c r="Z94"/>
  <c r="X94"/>
  <c r="V94"/>
  <c r="T94"/>
  <c r="R94"/>
  <c r="P94"/>
  <c r="N94"/>
  <c r="L94"/>
  <c r="J94"/>
  <c r="H94"/>
  <c r="F94"/>
  <c r="D94"/>
  <c r="AA114" i="1"/>
  <c r="AC114"/>
  <c r="AD114"/>
  <c r="AB114"/>
  <c r="Z114"/>
  <c r="X114"/>
  <c r="V114"/>
  <c r="T114"/>
  <c r="R114"/>
  <c r="P114"/>
  <c r="N114"/>
  <c r="L114"/>
  <c r="J114"/>
  <c r="H114"/>
  <c r="F114"/>
  <c r="D114"/>
  <c r="AA113"/>
  <c r="AC113"/>
  <c r="AD113"/>
  <c r="AB113"/>
  <c r="Z113"/>
  <c r="X113"/>
  <c r="V113"/>
  <c r="T113"/>
  <c r="R113"/>
  <c r="P113"/>
  <c r="N113"/>
  <c r="L113"/>
  <c r="J113"/>
  <c r="H113"/>
  <c r="F113"/>
  <c r="D113"/>
  <c r="AA112"/>
  <c r="AC112"/>
  <c r="AD112"/>
  <c r="AB112"/>
  <c r="Z112"/>
  <c r="X112"/>
  <c r="V112"/>
  <c r="T112"/>
  <c r="R112"/>
  <c r="P112"/>
  <c r="N112"/>
  <c r="L112"/>
  <c r="J112"/>
  <c r="H112"/>
  <c r="F112"/>
  <c r="D112"/>
  <c r="AA111"/>
  <c r="AC111"/>
  <c r="AD111"/>
  <c r="AB111"/>
  <c r="Z111"/>
  <c r="X111"/>
  <c r="V111"/>
  <c r="T111"/>
  <c r="R111"/>
  <c r="P111"/>
  <c r="N111"/>
  <c r="L111"/>
  <c r="J111"/>
  <c r="H111"/>
  <c r="F111"/>
  <c r="D111"/>
  <c r="AA110"/>
  <c r="AC110"/>
  <c r="AD110"/>
  <c r="AB110"/>
  <c r="Z110"/>
  <c r="X110"/>
  <c r="V110"/>
  <c r="T110"/>
  <c r="R110"/>
  <c r="P110"/>
  <c r="N110"/>
  <c r="L110"/>
  <c r="J110"/>
  <c r="H110"/>
  <c r="F110"/>
  <c r="D110"/>
  <c r="AA109"/>
  <c r="AC109"/>
  <c r="AD109"/>
  <c r="AB109"/>
  <c r="Z109"/>
  <c r="X109"/>
  <c r="V109"/>
  <c r="T109"/>
  <c r="R109"/>
  <c r="P109"/>
  <c r="N109"/>
  <c r="L109"/>
  <c r="J109"/>
  <c r="H109"/>
  <c r="F109"/>
  <c r="D109"/>
  <c r="AA108"/>
  <c r="AC108"/>
  <c r="AD108"/>
  <c r="AB108"/>
  <c r="Z108"/>
  <c r="X108"/>
  <c r="V108"/>
  <c r="T108"/>
  <c r="R108"/>
  <c r="P108"/>
  <c r="N108"/>
  <c r="L108"/>
  <c r="J108"/>
  <c r="H108"/>
  <c r="F108"/>
  <c r="D108"/>
  <c r="AA107"/>
  <c r="AC107"/>
  <c r="AD107"/>
  <c r="AB107"/>
  <c r="Z107"/>
  <c r="X107"/>
  <c r="V107"/>
  <c r="T107"/>
  <c r="R107"/>
  <c r="P107"/>
  <c r="N107"/>
  <c r="L107"/>
  <c r="J107"/>
  <c r="H107"/>
  <c r="F107"/>
  <c r="D107"/>
  <c r="AA106"/>
  <c r="AC106"/>
  <c r="AD106"/>
  <c r="AB106"/>
  <c r="Z106"/>
  <c r="X106"/>
  <c r="V106"/>
  <c r="T106"/>
  <c r="R106"/>
  <c r="P106"/>
  <c r="N106"/>
  <c r="L106"/>
  <c r="J106"/>
  <c r="H106"/>
  <c r="F106"/>
  <c r="D106"/>
  <c r="AA105"/>
  <c r="AC105"/>
  <c r="AD105"/>
  <c r="AB105"/>
  <c r="Z105"/>
  <c r="X105"/>
  <c r="V105"/>
  <c r="T105"/>
  <c r="R105"/>
  <c r="P105"/>
  <c r="N105"/>
  <c r="L105"/>
  <c r="J105"/>
  <c r="H105"/>
  <c r="F105"/>
  <c r="D105"/>
  <c r="AA104"/>
  <c r="AC104"/>
  <c r="AD104"/>
  <c r="AB104"/>
  <c r="Z104"/>
  <c r="X104"/>
  <c r="V104"/>
  <c r="T104"/>
  <c r="R104"/>
  <c r="P104"/>
  <c r="N104"/>
  <c r="L104"/>
  <c r="J104"/>
  <c r="H104"/>
  <c r="F104"/>
  <c r="D104"/>
  <c r="AA103"/>
  <c r="AC103"/>
  <c r="AD103"/>
  <c r="AB103"/>
  <c r="Z103"/>
  <c r="X103"/>
  <c r="V103"/>
  <c r="T103"/>
  <c r="R103"/>
  <c r="P103"/>
  <c r="N103"/>
  <c r="L103"/>
  <c r="J103"/>
  <c r="H103"/>
  <c r="F103"/>
  <c r="D103"/>
  <c r="AA102"/>
  <c r="AC102"/>
  <c r="AD102"/>
  <c r="AB102"/>
  <c r="Z102"/>
  <c r="X102"/>
  <c r="V102"/>
  <c r="T102"/>
  <c r="R102"/>
  <c r="P102"/>
  <c r="N102"/>
  <c r="L102"/>
  <c r="J102"/>
  <c r="H102"/>
  <c r="F102"/>
  <c r="D102"/>
  <c r="AA101"/>
  <c r="AC101"/>
  <c r="AD101"/>
  <c r="AB101"/>
  <c r="Z101"/>
  <c r="X101"/>
  <c r="V101"/>
  <c r="T101"/>
  <c r="R101"/>
  <c r="P101"/>
  <c r="N101"/>
  <c r="L101"/>
  <c r="J101"/>
  <c r="H101"/>
  <c r="F101"/>
  <c r="D101"/>
  <c r="AA100"/>
  <c r="AC100"/>
  <c r="AD100"/>
  <c r="AB100"/>
  <c r="Z100"/>
  <c r="X100"/>
  <c r="V100"/>
  <c r="T100"/>
  <c r="R100"/>
  <c r="P100"/>
  <c r="N100"/>
  <c r="L100"/>
  <c r="J100"/>
  <c r="H100"/>
  <c r="F100"/>
  <c r="D100"/>
  <c r="AA99"/>
  <c r="AC99"/>
  <c r="AD99"/>
  <c r="AB99"/>
  <c r="Z99"/>
  <c r="X99"/>
  <c r="V99"/>
  <c r="T99"/>
  <c r="R99"/>
  <c r="P99"/>
  <c r="N99"/>
  <c r="L99"/>
  <c r="J99"/>
  <c r="H99"/>
  <c r="F99"/>
  <c r="D99"/>
  <c r="AA98"/>
  <c r="AC98"/>
  <c r="AD98"/>
  <c r="AB98"/>
  <c r="Z98"/>
  <c r="X98"/>
  <c r="V98"/>
  <c r="T98"/>
  <c r="R98"/>
  <c r="P98"/>
  <c r="N98"/>
  <c r="L98"/>
  <c r="J98"/>
  <c r="H98"/>
  <c r="F98"/>
  <c r="D98"/>
  <c r="AA97"/>
  <c r="AC97"/>
  <c r="AD97"/>
  <c r="AB97"/>
  <c r="Z97"/>
  <c r="X97"/>
  <c r="V97"/>
  <c r="T97"/>
  <c r="R97"/>
  <c r="P97"/>
  <c r="N97"/>
  <c r="L97"/>
  <c r="J97"/>
  <c r="H97"/>
  <c r="F97"/>
  <c r="D97"/>
  <c r="AA96"/>
  <c r="AC96"/>
  <c r="AD96"/>
  <c r="AB96"/>
  <c r="Z96"/>
  <c r="X96"/>
  <c r="V96"/>
  <c r="T96"/>
  <c r="R96"/>
  <c r="P96"/>
  <c r="N96"/>
  <c r="L96"/>
  <c r="J96"/>
  <c r="H96"/>
  <c r="F96"/>
  <c r="D96"/>
  <c r="AA95"/>
  <c r="AC95"/>
  <c r="AD95"/>
  <c r="AB95"/>
  <c r="Z95"/>
  <c r="X95"/>
  <c r="V95"/>
  <c r="T95"/>
  <c r="R95"/>
  <c r="P95"/>
  <c r="N95"/>
  <c r="L95"/>
  <c r="J95"/>
  <c r="H95"/>
  <c r="F95"/>
  <c r="D95"/>
  <c r="AA94"/>
  <c r="AC94"/>
  <c r="AD94"/>
  <c r="AB94"/>
  <c r="Z94"/>
  <c r="X94"/>
  <c r="V94"/>
  <c r="T94"/>
  <c r="R94"/>
  <c r="P94"/>
  <c r="N94"/>
  <c r="L94"/>
  <c r="J94"/>
  <c r="H94"/>
  <c r="F94"/>
  <c r="D94"/>
  <c r="Y143" i="24"/>
  <c r="Y128"/>
  <c r="Y115"/>
  <c r="Y93"/>
  <c r="Y76"/>
  <c r="Y41"/>
  <c r="Y144"/>
  <c r="Y35"/>
  <c r="Y21"/>
  <c r="Y36"/>
  <c r="Y15"/>
  <c r="Y12"/>
  <c r="Y16"/>
  <c r="Y37"/>
  <c r="Y130"/>
  <c r="Y134"/>
  <c r="Y145"/>
  <c r="Y151"/>
  <c r="W143"/>
  <c r="W128"/>
  <c r="W115"/>
  <c r="W93"/>
  <c r="W76"/>
  <c r="W41"/>
  <c r="W144"/>
  <c r="W36"/>
  <c r="W35"/>
  <c r="W21"/>
  <c r="W15"/>
  <c r="W12"/>
  <c r="W16"/>
  <c r="W37"/>
  <c r="W130"/>
  <c r="W134"/>
  <c r="W145"/>
  <c r="W151"/>
  <c r="U143"/>
  <c r="U128"/>
  <c r="U115"/>
  <c r="U93"/>
  <c r="U76"/>
  <c r="U41"/>
  <c r="U144"/>
  <c r="U35"/>
  <c r="U21"/>
  <c r="U36"/>
  <c r="U16"/>
  <c r="U15"/>
  <c r="U12"/>
  <c r="S143"/>
  <c r="S128"/>
  <c r="S115"/>
  <c r="S93"/>
  <c r="S76"/>
  <c r="S41"/>
  <c r="S144"/>
  <c r="S35"/>
  <c r="S21"/>
  <c r="S36"/>
  <c r="S15"/>
  <c r="S12"/>
  <c r="S16"/>
  <c r="S37"/>
  <c r="S130"/>
  <c r="S134"/>
  <c r="S145"/>
  <c r="S151"/>
  <c r="Q143"/>
  <c r="Q128"/>
  <c r="Q115"/>
  <c r="Q93"/>
  <c r="Q76"/>
  <c r="Q41"/>
  <c r="Q144"/>
  <c r="Q35"/>
  <c r="Q21"/>
  <c r="Q36"/>
  <c r="Q16"/>
  <c r="Q15"/>
  <c r="Q12"/>
  <c r="O143"/>
  <c r="O128"/>
  <c r="O115"/>
  <c r="O93"/>
  <c r="O76"/>
  <c r="O41"/>
  <c r="O144"/>
  <c r="O35"/>
  <c r="O21"/>
  <c r="O36"/>
  <c r="O16"/>
  <c r="O15"/>
  <c r="O12"/>
  <c r="M143"/>
  <c r="M128"/>
  <c r="M115"/>
  <c r="M93"/>
  <c r="M76"/>
  <c r="M41"/>
  <c r="M144"/>
  <c r="M35"/>
  <c r="M21"/>
  <c r="M36"/>
  <c r="M15"/>
  <c r="M12"/>
  <c r="M16"/>
  <c r="M37"/>
  <c r="M130"/>
  <c r="M134"/>
  <c r="M145"/>
  <c r="M151"/>
  <c r="K143"/>
  <c r="K128"/>
  <c r="K115"/>
  <c r="K93"/>
  <c r="K76"/>
  <c r="K41"/>
  <c r="K144"/>
  <c r="K35"/>
  <c r="K21"/>
  <c r="K36"/>
  <c r="K37"/>
  <c r="K130"/>
  <c r="K134"/>
  <c r="K145"/>
  <c r="K151"/>
  <c r="K16"/>
  <c r="K15"/>
  <c r="K12"/>
  <c r="I143"/>
  <c r="I128"/>
  <c r="I115"/>
  <c r="I93"/>
  <c r="I76"/>
  <c r="I41"/>
  <c r="I144"/>
  <c r="I35"/>
  <c r="I21"/>
  <c r="I36"/>
  <c r="I15"/>
  <c r="I12"/>
  <c r="I16"/>
  <c r="I37"/>
  <c r="I130"/>
  <c r="I134"/>
  <c r="I145"/>
  <c r="I151"/>
  <c r="G143"/>
  <c r="G128"/>
  <c r="G115"/>
  <c r="G93"/>
  <c r="G76"/>
  <c r="G41"/>
  <c r="G144"/>
  <c r="G36"/>
  <c r="G35"/>
  <c r="G21"/>
  <c r="G16"/>
  <c r="G37"/>
  <c r="G130"/>
  <c r="G134"/>
  <c r="G145"/>
  <c r="G151"/>
  <c r="G15"/>
  <c r="G12"/>
  <c r="E143"/>
  <c r="E128"/>
  <c r="E115"/>
  <c r="E93"/>
  <c r="E76"/>
  <c r="E41"/>
  <c r="E144"/>
  <c r="E35"/>
  <c r="E21"/>
  <c r="E36"/>
  <c r="E15"/>
  <c r="E12"/>
  <c r="E16"/>
  <c r="E37"/>
  <c r="E130"/>
  <c r="E134"/>
  <c r="E145"/>
  <c r="E151"/>
  <c r="Y5" i="26"/>
  <c r="W5"/>
  <c r="U5"/>
  <c r="S5"/>
  <c r="Q5"/>
  <c r="O5"/>
  <c r="M5"/>
  <c r="K5"/>
  <c r="I5"/>
  <c r="G5"/>
  <c r="E5"/>
  <c r="C5"/>
  <c r="Z9"/>
  <c r="X9"/>
  <c r="V9"/>
  <c r="T9"/>
  <c r="R9"/>
  <c r="P9"/>
  <c r="N9"/>
  <c r="L9"/>
  <c r="J9"/>
  <c r="H9"/>
  <c r="F9"/>
  <c r="D9"/>
  <c r="Y5" i="25"/>
  <c r="W5"/>
  <c r="U5"/>
  <c r="S5"/>
  <c r="Q5"/>
  <c r="O5"/>
  <c r="M5"/>
  <c r="K5"/>
  <c r="I5"/>
  <c r="G5"/>
  <c r="E5"/>
  <c r="C5"/>
  <c r="Z9"/>
  <c r="X9"/>
  <c r="V9"/>
  <c r="T9"/>
  <c r="R9"/>
  <c r="P9"/>
  <c r="N9"/>
  <c r="L9"/>
  <c r="J9"/>
  <c r="H9"/>
  <c r="F9"/>
  <c r="D9"/>
  <c r="Y5" i="19"/>
  <c r="W5"/>
  <c r="U5"/>
  <c r="S5"/>
  <c r="Q5"/>
  <c r="O5"/>
  <c r="M5"/>
  <c r="K5"/>
  <c r="I5"/>
  <c r="G5"/>
  <c r="E5"/>
  <c r="C5"/>
  <c r="Z9"/>
  <c r="X9"/>
  <c r="V9"/>
  <c r="T9"/>
  <c r="R9"/>
  <c r="P9"/>
  <c r="N9"/>
  <c r="L9"/>
  <c r="J9"/>
  <c r="H9"/>
  <c r="F9"/>
  <c r="U37" i="24"/>
  <c r="U130"/>
  <c r="U134"/>
  <c r="U145"/>
  <c r="U151"/>
  <c r="Q37"/>
  <c r="Q130"/>
  <c r="Q134"/>
  <c r="Q145"/>
  <c r="Q151"/>
  <c r="O37"/>
  <c r="O130"/>
  <c r="O134"/>
  <c r="O145"/>
  <c r="O151"/>
  <c r="W9" i="5"/>
  <c r="U9"/>
  <c r="K9"/>
  <c r="Y9"/>
  <c r="S9"/>
  <c r="O9"/>
  <c r="Q9"/>
  <c r="M9"/>
  <c r="I9"/>
  <c r="G9"/>
  <c r="E9"/>
  <c r="C9"/>
  <c r="Y5"/>
  <c r="W5"/>
  <c r="U5"/>
  <c r="S5"/>
  <c r="Q5"/>
  <c r="O5"/>
  <c r="M5"/>
  <c r="K5"/>
  <c r="I5"/>
  <c r="G5"/>
  <c r="E5"/>
  <c r="C5"/>
  <c r="Y5" i="1"/>
  <c r="W5"/>
  <c r="U5"/>
  <c r="S5"/>
  <c r="Q5"/>
  <c r="Y9"/>
  <c r="W9"/>
  <c r="U9"/>
  <c r="S9"/>
  <c r="Q9"/>
  <c r="O9"/>
  <c r="O5"/>
  <c r="P9"/>
  <c r="M9"/>
  <c r="M5"/>
  <c r="N9"/>
  <c r="K5"/>
  <c r="K9"/>
  <c r="I5"/>
  <c r="I9"/>
  <c r="G5"/>
  <c r="G9"/>
  <c r="E5"/>
  <c r="E9"/>
  <c r="X9"/>
  <c r="V9"/>
  <c r="T9"/>
  <c r="R9"/>
  <c r="L9"/>
  <c r="J9"/>
  <c r="H9"/>
  <c r="F9"/>
  <c r="C5"/>
  <c r="C9"/>
  <c r="Y59"/>
  <c r="W59"/>
  <c r="U59"/>
  <c r="AA151" i="12"/>
  <c r="AA150"/>
  <c r="AA149"/>
  <c r="AA148"/>
  <c r="AA147"/>
  <c r="AA144"/>
  <c r="AA143"/>
  <c r="AA142"/>
  <c r="AA141"/>
  <c r="AA140"/>
  <c r="AA139"/>
  <c r="AA138"/>
  <c r="AA137"/>
  <c r="AA136"/>
  <c r="AA134"/>
  <c r="AA133"/>
  <c r="AA132"/>
  <c r="AA130"/>
  <c r="AA125"/>
  <c r="AA124"/>
  <c r="AA123"/>
  <c r="AA122"/>
  <c r="AA121"/>
  <c r="AA120"/>
  <c r="AA119"/>
  <c r="AA118"/>
  <c r="AA116"/>
  <c r="AA92"/>
  <c r="AA91"/>
  <c r="AA89"/>
  <c r="AA87"/>
  <c r="AA86"/>
  <c r="AA85"/>
  <c r="AA84"/>
  <c r="AA83"/>
  <c r="AA82"/>
  <c r="AA81"/>
  <c r="AA80"/>
  <c r="AA79"/>
  <c r="AA78"/>
  <c r="AA77"/>
  <c r="AA74"/>
  <c r="AA73"/>
  <c r="AA72"/>
  <c r="AA71"/>
  <c r="AA70"/>
  <c r="AA69"/>
  <c r="AA68"/>
  <c r="AA67"/>
  <c r="AA66"/>
  <c r="AA64"/>
  <c r="AA63"/>
  <c r="AA62"/>
  <c r="AA61"/>
  <c r="AA60"/>
  <c r="AA58"/>
  <c r="AA57"/>
  <c r="AA55"/>
  <c r="AA54"/>
  <c r="AA53"/>
  <c r="AA51"/>
  <c r="AA50"/>
  <c r="AA47"/>
  <c r="AA45"/>
  <c r="AA44"/>
  <c r="AA43"/>
  <c r="AA41"/>
  <c r="AA40"/>
  <c r="AA39"/>
  <c r="AA38"/>
  <c r="AA34"/>
  <c r="AA33"/>
  <c r="AA32"/>
  <c r="AA31"/>
  <c r="AA30"/>
  <c r="AA29"/>
  <c r="AA28"/>
  <c r="AA26"/>
  <c r="AA24"/>
  <c r="AA23"/>
  <c r="AA22"/>
  <c r="AA20"/>
  <c r="AA18"/>
  <c r="AA15"/>
  <c r="AA14"/>
  <c r="AA13"/>
  <c r="AA11"/>
  <c r="AA10"/>
  <c r="AA8"/>
  <c r="AA7"/>
  <c r="AA6"/>
  <c r="Y151"/>
  <c r="Y150"/>
  <c r="Y149"/>
  <c r="Y148"/>
  <c r="Y147"/>
  <c r="Y144"/>
  <c r="Y143"/>
  <c r="Y142"/>
  <c r="Y141"/>
  <c r="Y140"/>
  <c r="Y139"/>
  <c r="Y138"/>
  <c r="Y137"/>
  <c r="Y136"/>
  <c r="Y134"/>
  <c r="Y133"/>
  <c r="Y132"/>
  <c r="Y130"/>
  <c r="Y128"/>
  <c r="Y127"/>
  <c r="Y125"/>
  <c r="Y124"/>
  <c r="Y123"/>
  <c r="Y122"/>
  <c r="Y121"/>
  <c r="Y120"/>
  <c r="Y119"/>
  <c r="Y118"/>
  <c r="Y117"/>
  <c r="Y116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2"/>
  <c r="Y91"/>
  <c r="Y90"/>
  <c r="Y89"/>
  <c r="Y88"/>
  <c r="Y87"/>
  <c r="Y86"/>
  <c r="Y85"/>
  <c r="Y84"/>
  <c r="Y83"/>
  <c r="Y82"/>
  <c r="Y81"/>
  <c r="Y80"/>
  <c r="Y79"/>
  <c r="Y78"/>
  <c r="Y77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1"/>
  <c r="Y40"/>
  <c r="Y39"/>
  <c r="Y38"/>
  <c r="Y34"/>
  <c r="Y33"/>
  <c r="Y32"/>
  <c r="Y31"/>
  <c r="Y30"/>
  <c r="Y29"/>
  <c r="Y28"/>
  <c r="Y26"/>
  <c r="Y25"/>
  <c r="Y24"/>
  <c r="Y23"/>
  <c r="Y22"/>
  <c r="Y20"/>
  <c r="Y19"/>
  <c r="Y18"/>
  <c r="Y15"/>
  <c r="Y14"/>
  <c r="Y13"/>
  <c r="Y11"/>
  <c r="Y10"/>
  <c r="Y9"/>
  <c r="Y8"/>
  <c r="Y7"/>
  <c r="Y6"/>
  <c r="Y5"/>
  <c r="W151"/>
  <c r="W150"/>
  <c r="W149"/>
  <c r="W148"/>
  <c r="W147"/>
  <c r="W144"/>
  <c r="W143"/>
  <c r="W142"/>
  <c r="W141"/>
  <c r="W140"/>
  <c r="W139"/>
  <c r="W138"/>
  <c r="W137"/>
  <c r="W136"/>
  <c r="W134"/>
  <c r="W133"/>
  <c r="W132"/>
  <c r="W130"/>
  <c r="W128"/>
  <c r="W127"/>
  <c r="W125"/>
  <c r="W124"/>
  <c r="W123"/>
  <c r="W122"/>
  <c r="W121"/>
  <c r="W120"/>
  <c r="W119"/>
  <c r="W118"/>
  <c r="W117"/>
  <c r="W116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2"/>
  <c r="W91"/>
  <c r="W90"/>
  <c r="W89"/>
  <c r="W88"/>
  <c r="W87"/>
  <c r="W86"/>
  <c r="W85"/>
  <c r="W84"/>
  <c r="W83"/>
  <c r="W82"/>
  <c r="W81"/>
  <c r="W80"/>
  <c r="W79"/>
  <c r="W78"/>
  <c r="W77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1"/>
  <c r="W40"/>
  <c r="W39"/>
  <c r="W38"/>
  <c r="W34"/>
  <c r="W33"/>
  <c r="W32"/>
  <c r="W31"/>
  <c r="W30"/>
  <c r="W29"/>
  <c r="W28"/>
  <c r="W26"/>
  <c r="W25"/>
  <c r="W24"/>
  <c r="W23"/>
  <c r="W22"/>
  <c r="W20"/>
  <c r="W19"/>
  <c r="W18"/>
  <c r="W15"/>
  <c r="W14"/>
  <c r="W13"/>
  <c r="W11"/>
  <c r="W10"/>
  <c r="W9"/>
  <c r="W8"/>
  <c r="W7"/>
  <c r="W6"/>
  <c r="W5"/>
  <c r="U151"/>
  <c r="U150"/>
  <c r="U149"/>
  <c r="U148"/>
  <c r="U147"/>
  <c r="U144"/>
  <c r="U143"/>
  <c r="U142"/>
  <c r="U141"/>
  <c r="U140"/>
  <c r="U139"/>
  <c r="U138"/>
  <c r="U137"/>
  <c r="U136"/>
  <c r="U134"/>
  <c r="U133"/>
  <c r="U132"/>
  <c r="U130"/>
  <c r="U128"/>
  <c r="U127"/>
  <c r="U125"/>
  <c r="U124"/>
  <c r="U123"/>
  <c r="U122"/>
  <c r="U121"/>
  <c r="U120"/>
  <c r="U119"/>
  <c r="U118"/>
  <c r="U117"/>
  <c r="U116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2"/>
  <c r="U91"/>
  <c r="U90"/>
  <c r="U89"/>
  <c r="U88"/>
  <c r="U87"/>
  <c r="U86"/>
  <c r="U85"/>
  <c r="U84"/>
  <c r="U83"/>
  <c r="U82"/>
  <c r="U81"/>
  <c r="U80"/>
  <c r="U79"/>
  <c r="U78"/>
  <c r="U77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1"/>
  <c r="U40"/>
  <c r="U39"/>
  <c r="U38"/>
  <c r="U34"/>
  <c r="U33"/>
  <c r="U32"/>
  <c r="U31"/>
  <c r="U30"/>
  <c r="U29"/>
  <c r="U28"/>
  <c r="U26"/>
  <c r="U25"/>
  <c r="U24"/>
  <c r="U23"/>
  <c r="U22"/>
  <c r="U20"/>
  <c r="U19"/>
  <c r="U18"/>
  <c r="U15"/>
  <c r="U14"/>
  <c r="U13"/>
  <c r="U11"/>
  <c r="U10"/>
  <c r="U9"/>
  <c r="U8"/>
  <c r="U7"/>
  <c r="U6"/>
  <c r="U5"/>
  <c r="S151"/>
  <c r="S150"/>
  <c r="S149"/>
  <c r="S148"/>
  <c r="S147"/>
  <c r="S144"/>
  <c r="S143"/>
  <c r="S142"/>
  <c r="S141"/>
  <c r="S140"/>
  <c r="S139"/>
  <c r="S138"/>
  <c r="S137"/>
  <c r="S136"/>
  <c r="S134"/>
  <c r="S133"/>
  <c r="S132"/>
  <c r="S130"/>
  <c r="S128"/>
  <c r="S127"/>
  <c r="S125"/>
  <c r="S124"/>
  <c r="S123"/>
  <c r="S122"/>
  <c r="S121"/>
  <c r="S120"/>
  <c r="S119"/>
  <c r="S118"/>
  <c r="S117"/>
  <c r="S116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2"/>
  <c r="S91"/>
  <c r="S90"/>
  <c r="S89"/>
  <c r="S88"/>
  <c r="S87"/>
  <c r="S86"/>
  <c r="S85"/>
  <c r="S84"/>
  <c r="S83"/>
  <c r="S82"/>
  <c r="S81"/>
  <c r="S80"/>
  <c r="S79"/>
  <c r="S78"/>
  <c r="S77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1"/>
  <c r="S40"/>
  <c r="S39"/>
  <c r="S38"/>
  <c r="S34"/>
  <c r="S33"/>
  <c r="S32"/>
  <c r="S31"/>
  <c r="S30"/>
  <c r="S29"/>
  <c r="S28"/>
  <c r="S26"/>
  <c r="S25"/>
  <c r="S24"/>
  <c r="S23"/>
  <c r="S22"/>
  <c r="S20"/>
  <c r="S19"/>
  <c r="S18"/>
  <c r="S15"/>
  <c r="S14"/>
  <c r="S13"/>
  <c r="S11"/>
  <c r="S10"/>
  <c r="S9"/>
  <c r="S8"/>
  <c r="S7"/>
  <c r="S6"/>
  <c r="S5"/>
  <c r="Q151"/>
  <c r="Q150"/>
  <c r="Q149"/>
  <c r="Q148"/>
  <c r="Q147"/>
  <c r="Q144"/>
  <c r="Q143"/>
  <c r="Q142"/>
  <c r="Q141"/>
  <c r="Q140"/>
  <c r="Q139"/>
  <c r="Q138"/>
  <c r="Q137"/>
  <c r="Q136"/>
  <c r="Q134"/>
  <c r="Q133"/>
  <c r="Q132"/>
  <c r="Q130"/>
  <c r="Q128"/>
  <c r="Q127"/>
  <c r="Q125"/>
  <c r="Q124"/>
  <c r="Q123"/>
  <c r="Q122"/>
  <c r="Q121"/>
  <c r="Q120"/>
  <c r="Q119"/>
  <c r="Q118"/>
  <c r="Q117"/>
  <c r="Q116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2"/>
  <c r="Q91"/>
  <c r="Q90"/>
  <c r="Q89"/>
  <c r="Q88"/>
  <c r="Q87"/>
  <c r="Q86"/>
  <c r="Q85"/>
  <c r="Q84"/>
  <c r="Q83"/>
  <c r="Q82"/>
  <c r="Q81"/>
  <c r="Q80"/>
  <c r="Q79"/>
  <c r="Q78"/>
  <c r="Q77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1"/>
  <c r="Q40"/>
  <c r="Q39"/>
  <c r="Q38"/>
  <c r="Q34"/>
  <c r="Q33"/>
  <c r="Q32"/>
  <c r="Q31"/>
  <c r="Q30"/>
  <c r="Q29"/>
  <c r="Q28"/>
  <c r="Q26"/>
  <c r="Q25"/>
  <c r="Q24"/>
  <c r="Q23"/>
  <c r="Q22"/>
  <c r="Q20"/>
  <c r="Q19"/>
  <c r="Q18"/>
  <c r="Q15"/>
  <c r="Q14"/>
  <c r="Q13"/>
  <c r="Q11"/>
  <c r="Q10"/>
  <c r="Q9"/>
  <c r="Q8"/>
  <c r="Q7"/>
  <c r="Q6"/>
  <c r="Q5"/>
  <c r="O151"/>
  <c r="O150"/>
  <c r="O149"/>
  <c r="O148"/>
  <c r="O147"/>
  <c r="O144"/>
  <c r="O143"/>
  <c r="O142"/>
  <c r="O141"/>
  <c r="O140"/>
  <c r="O139"/>
  <c r="O138"/>
  <c r="O137"/>
  <c r="O136"/>
  <c r="O134"/>
  <c r="O133"/>
  <c r="O132"/>
  <c r="O130"/>
  <c r="O128"/>
  <c r="O127"/>
  <c r="O125"/>
  <c r="O124"/>
  <c r="O123"/>
  <c r="O122"/>
  <c r="O121"/>
  <c r="O120"/>
  <c r="O119"/>
  <c r="O118"/>
  <c r="O117"/>
  <c r="O116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2"/>
  <c r="O91"/>
  <c r="O90"/>
  <c r="O89"/>
  <c r="O88"/>
  <c r="O87"/>
  <c r="O86"/>
  <c r="O85"/>
  <c r="O84"/>
  <c r="O83"/>
  <c r="O82"/>
  <c r="O81"/>
  <c r="O80"/>
  <c r="O79"/>
  <c r="O78"/>
  <c r="O77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1"/>
  <c r="O40"/>
  <c r="O39"/>
  <c r="O38"/>
  <c r="O34"/>
  <c r="O33"/>
  <c r="O32"/>
  <c r="O31"/>
  <c r="O30"/>
  <c r="O29"/>
  <c r="O28"/>
  <c r="O26"/>
  <c r="O25"/>
  <c r="O24"/>
  <c r="O23"/>
  <c r="O22"/>
  <c r="O20"/>
  <c r="O19"/>
  <c r="O18"/>
  <c r="O15"/>
  <c r="O14"/>
  <c r="O13"/>
  <c r="O11"/>
  <c r="O10"/>
  <c r="O9"/>
  <c r="O8"/>
  <c r="O7"/>
  <c r="O6"/>
  <c r="O5"/>
  <c r="M151"/>
  <c r="M150"/>
  <c r="M149"/>
  <c r="M148"/>
  <c r="M147"/>
  <c r="M144"/>
  <c r="M143"/>
  <c r="M142"/>
  <c r="M141"/>
  <c r="M140"/>
  <c r="M139"/>
  <c r="M138"/>
  <c r="M137"/>
  <c r="M136"/>
  <c r="M134"/>
  <c r="M133"/>
  <c r="M132"/>
  <c r="M130"/>
  <c r="M128"/>
  <c r="M127"/>
  <c r="M125"/>
  <c r="M124"/>
  <c r="M123"/>
  <c r="M122"/>
  <c r="M121"/>
  <c r="M120"/>
  <c r="M119"/>
  <c r="M118"/>
  <c r="M117"/>
  <c r="M116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2"/>
  <c r="M91"/>
  <c r="M90"/>
  <c r="M89"/>
  <c r="M88"/>
  <c r="M87"/>
  <c r="M86"/>
  <c r="M85"/>
  <c r="M84"/>
  <c r="M83"/>
  <c r="M82"/>
  <c r="M81"/>
  <c r="M80"/>
  <c r="M79"/>
  <c r="M78"/>
  <c r="M77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1"/>
  <c r="M40"/>
  <c r="M39"/>
  <c r="M38"/>
  <c r="M34"/>
  <c r="M33"/>
  <c r="M32"/>
  <c r="M31"/>
  <c r="M30"/>
  <c r="M29"/>
  <c r="M28"/>
  <c r="M26"/>
  <c r="M25"/>
  <c r="M24"/>
  <c r="M23"/>
  <c r="M22"/>
  <c r="M20"/>
  <c r="M19"/>
  <c r="M18"/>
  <c r="M15"/>
  <c r="M14"/>
  <c r="M13"/>
  <c r="M11"/>
  <c r="M10"/>
  <c r="M9"/>
  <c r="M8"/>
  <c r="M7"/>
  <c r="M6"/>
  <c r="M5"/>
  <c r="K151"/>
  <c r="K150"/>
  <c r="K149"/>
  <c r="K148"/>
  <c r="K147"/>
  <c r="K144"/>
  <c r="K143"/>
  <c r="K142"/>
  <c r="K141"/>
  <c r="K140"/>
  <c r="K139"/>
  <c r="K138"/>
  <c r="K137"/>
  <c r="K136"/>
  <c r="K134"/>
  <c r="K133"/>
  <c r="K132"/>
  <c r="K130"/>
  <c r="K128"/>
  <c r="K127"/>
  <c r="K125"/>
  <c r="K124"/>
  <c r="K123"/>
  <c r="K122"/>
  <c r="K121"/>
  <c r="K120"/>
  <c r="K119"/>
  <c r="K118"/>
  <c r="K117"/>
  <c r="K116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1"/>
  <c r="K90"/>
  <c r="K89"/>
  <c r="K88"/>
  <c r="K87"/>
  <c r="K86"/>
  <c r="K85"/>
  <c r="K84"/>
  <c r="K83"/>
  <c r="K82"/>
  <c r="K81"/>
  <c r="K80"/>
  <c r="K79"/>
  <c r="K78"/>
  <c r="K77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1"/>
  <c r="K40"/>
  <c r="K39"/>
  <c r="K38"/>
  <c r="K34"/>
  <c r="K33"/>
  <c r="K32"/>
  <c r="K31"/>
  <c r="K30"/>
  <c r="K29"/>
  <c r="K28"/>
  <c r="K26"/>
  <c r="K25"/>
  <c r="K24"/>
  <c r="K23"/>
  <c r="K22"/>
  <c r="K20"/>
  <c r="K19"/>
  <c r="K18"/>
  <c r="K15"/>
  <c r="K14"/>
  <c r="K13"/>
  <c r="K11"/>
  <c r="K10"/>
  <c r="K9"/>
  <c r="K8"/>
  <c r="K7"/>
  <c r="K6"/>
  <c r="K5"/>
  <c r="I151"/>
  <c r="I150"/>
  <c r="I149"/>
  <c r="I148"/>
  <c r="I147"/>
  <c r="I144"/>
  <c r="I143"/>
  <c r="I142"/>
  <c r="I141"/>
  <c r="I140"/>
  <c r="I139"/>
  <c r="I138"/>
  <c r="I137"/>
  <c r="I136"/>
  <c r="I134"/>
  <c r="I133"/>
  <c r="I132"/>
  <c r="I130"/>
  <c r="I128"/>
  <c r="I127"/>
  <c r="I125"/>
  <c r="I124"/>
  <c r="I123"/>
  <c r="I122"/>
  <c r="I121"/>
  <c r="I120"/>
  <c r="I119"/>
  <c r="I118"/>
  <c r="I117"/>
  <c r="I116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2"/>
  <c r="I91"/>
  <c r="I90"/>
  <c r="I89"/>
  <c r="I88"/>
  <c r="I87"/>
  <c r="I86"/>
  <c r="I85"/>
  <c r="I84"/>
  <c r="I83"/>
  <c r="I82"/>
  <c r="I81"/>
  <c r="I80"/>
  <c r="I79"/>
  <c r="I78"/>
  <c r="I77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1"/>
  <c r="I40"/>
  <c r="I39"/>
  <c r="I38"/>
  <c r="I34"/>
  <c r="I33"/>
  <c r="I32"/>
  <c r="I31"/>
  <c r="I30"/>
  <c r="I29"/>
  <c r="I28"/>
  <c r="I26"/>
  <c r="I25"/>
  <c r="I24"/>
  <c r="I23"/>
  <c r="I22"/>
  <c r="I20"/>
  <c r="I19"/>
  <c r="I18"/>
  <c r="I15"/>
  <c r="I14"/>
  <c r="I13"/>
  <c r="I11"/>
  <c r="I10"/>
  <c r="I9"/>
  <c r="I8"/>
  <c r="I7"/>
  <c r="I6"/>
  <c r="I5"/>
  <c r="G151"/>
  <c r="G150"/>
  <c r="G149"/>
  <c r="G148"/>
  <c r="G147"/>
  <c r="G144"/>
  <c r="G143"/>
  <c r="G142"/>
  <c r="G141"/>
  <c r="G140"/>
  <c r="G139"/>
  <c r="G138"/>
  <c r="G137"/>
  <c r="G136"/>
  <c r="G134"/>
  <c r="G133"/>
  <c r="G132"/>
  <c r="G130"/>
  <c r="G128"/>
  <c r="G127"/>
  <c r="G125"/>
  <c r="G124"/>
  <c r="G123"/>
  <c r="G122"/>
  <c r="G121"/>
  <c r="G120"/>
  <c r="G119"/>
  <c r="G118"/>
  <c r="G117"/>
  <c r="G116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2"/>
  <c r="G91"/>
  <c r="G90"/>
  <c r="G89"/>
  <c r="G88"/>
  <c r="G87"/>
  <c r="G86"/>
  <c r="G85"/>
  <c r="G84"/>
  <c r="G83"/>
  <c r="G82"/>
  <c r="G81"/>
  <c r="G80"/>
  <c r="G79"/>
  <c r="G78"/>
  <c r="G77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1"/>
  <c r="G40"/>
  <c r="G39"/>
  <c r="G38"/>
  <c r="G34"/>
  <c r="G33"/>
  <c r="G32"/>
  <c r="G31"/>
  <c r="G30"/>
  <c r="G29"/>
  <c r="G28"/>
  <c r="G26"/>
  <c r="G25"/>
  <c r="G24"/>
  <c r="G23"/>
  <c r="G22"/>
  <c r="G20"/>
  <c r="G19"/>
  <c r="G18"/>
  <c r="G15"/>
  <c r="G14"/>
  <c r="G13"/>
  <c r="G11"/>
  <c r="G10"/>
  <c r="G9"/>
  <c r="G8"/>
  <c r="G7"/>
  <c r="G6"/>
  <c r="G5"/>
  <c r="E151"/>
  <c r="E150"/>
  <c r="E149"/>
  <c r="E148"/>
  <c r="E147"/>
  <c r="E144"/>
  <c r="E143"/>
  <c r="E142"/>
  <c r="E141"/>
  <c r="E140"/>
  <c r="E139"/>
  <c r="E138"/>
  <c r="E137"/>
  <c r="E136"/>
  <c r="E134"/>
  <c r="E133"/>
  <c r="E132"/>
  <c r="E130"/>
  <c r="E128"/>
  <c r="E127"/>
  <c r="E125"/>
  <c r="E124"/>
  <c r="E123"/>
  <c r="E122"/>
  <c r="E121"/>
  <c r="E120"/>
  <c r="E119"/>
  <c r="E118"/>
  <c r="E117"/>
  <c r="E116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2"/>
  <c r="E91"/>
  <c r="E90"/>
  <c r="E89"/>
  <c r="E88"/>
  <c r="E87"/>
  <c r="E86"/>
  <c r="E85"/>
  <c r="E84"/>
  <c r="E83"/>
  <c r="E82"/>
  <c r="E81"/>
  <c r="E80"/>
  <c r="E79"/>
  <c r="E78"/>
  <c r="E77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1"/>
  <c r="E40"/>
  <c r="E39"/>
  <c r="E38"/>
  <c r="E34"/>
  <c r="E33"/>
  <c r="E32"/>
  <c r="E31"/>
  <c r="E30"/>
  <c r="E29"/>
  <c r="E28"/>
  <c r="E26"/>
  <c r="E25"/>
  <c r="E24"/>
  <c r="E23"/>
  <c r="E22"/>
  <c r="E20"/>
  <c r="E19"/>
  <c r="E18"/>
  <c r="E15"/>
  <c r="E14"/>
  <c r="E13"/>
  <c r="E11"/>
  <c r="E10"/>
  <c r="E9"/>
  <c r="E8"/>
  <c r="E7"/>
  <c r="E6"/>
  <c r="E5"/>
  <c r="C151"/>
  <c r="C150"/>
  <c r="C149"/>
  <c r="C148"/>
  <c r="C147"/>
  <c r="C144"/>
  <c r="C143"/>
  <c r="C142"/>
  <c r="C141"/>
  <c r="C140"/>
  <c r="C139"/>
  <c r="C138"/>
  <c r="C137"/>
  <c r="C136"/>
  <c r="C134"/>
  <c r="C133"/>
  <c r="C132"/>
  <c r="C130"/>
  <c r="C128"/>
  <c r="C127"/>
  <c r="C125"/>
  <c r="C124"/>
  <c r="C123"/>
  <c r="C122"/>
  <c r="C121"/>
  <c r="C120"/>
  <c r="C119"/>
  <c r="C118"/>
  <c r="C117"/>
  <c r="C116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2"/>
  <c r="C91"/>
  <c r="C90"/>
  <c r="C89"/>
  <c r="C88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1"/>
  <c r="C40"/>
  <c r="C39"/>
  <c r="C38"/>
  <c r="C34"/>
  <c r="C33"/>
  <c r="C32"/>
  <c r="C31"/>
  <c r="C30"/>
  <c r="C29"/>
  <c r="C28"/>
  <c r="C26"/>
  <c r="C25"/>
  <c r="C24"/>
  <c r="C23"/>
  <c r="C22"/>
  <c r="C20"/>
  <c r="C19"/>
  <c r="C18"/>
  <c r="C15"/>
  <c r="C14"/>
  <c r="C13"/>
  <c r="C11"/>
  <c r="C10"/>
  <c r="C9"/>
  <c r="C8"/>
  <c r="C7"/>
  <c r="C6"/>
  <c r="C5"/>
  <c r="AC118" i="5"/>
  <c r="AC118" i="19"/>
  <c r="AC118" i="25"/>
  <c r="AA118"/>
  <c r="AC118" i="26"/>
  <c r="AA118"/>
  <c r="AA118" i="19"/>
  <c r="AA118" i="5"/>
  <c r="AA119"/>
  <c r="AA120"/>
  <c r="AA121"/>
  <c r="AA122"/>
  <c r="AA78"/>
  <c r="AA79"/>
  <c r="AA80"/>
  <c r="AA81"/>
  <c r="AA82"/>
  <c r="AA83"/>
  <c r="AA84"/>
  <c r="AA85"/>
  <c r="AA86"/>
  <c r="AA87"/>
  <c r="AA88"/>
  <c r="AA89"/>
  <c r="AA90"/>
  <c r="AA91"/>
  <c r="AA9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7"/>
  <c r="AA137" i="26"/>
  <c r="AA138"/>
  <c r="Y143" i="21"/>
  <c r="Y128"/>
  <c r="Y115"/>
  <c r="Y93"/>
  <c r="Y76"/>
  <c r="Y41"/>
  <c r="Y144"/>
  <c r="Y36"/>
  <c r="Y35"/>
  <c r="Y21"/>
  <c r="Y15"/>
  <c r="Y16"/>
  <c r="Y37"/>
  <c r="Y130"/>
  <c r="Y134"/>
  <c r="Y145"/>
  <c r="Y151"/>
  <c r="Y12"/>
  <c r="W143"/>
  <c r="W128"/>
  <c r="W115"/>
  <c r="W93"/>
  <c r="W76"/>
  <c r="W41"/>
  <c r="W144"/>
  <c r="W35"/>
  <c r="W21"/>
  <c r="W36"/>
  <c r="W16"/>
  <c r="W15"/>
  <c r="W12"/>
  <c r="U143"/>
  <c r="U128"/>
  <c r="U115"/>
  <c r="U93"/>
  <c r="U76"/>
  <c r="U41"/>
  <c r="U144"/>
  <c r="U35"/>
  <c r="U21"/>
  <c r="U36"/>
  <c r="U15"/>
  <c r="U12"/>
  <c r="U16"/>
  <c r="S143"/>
  <c r="S128"/>
  <c r="S115"/>
  <c r="S93"/>
  <c r="S76"/>
  <c r="S41"/>
  <c r="S144"/>
  <c r="S35"/>
  <c r="S21"/>
  <c r="S36"/>
  <c r="S15"/>
  <c r="S12"/>
  <c r="S16"/>
  <c r="Q143"/>
  <c r="Q128"/>
  <c r="Q115"/>
  <c r="Q93"/>
  <c r="Q76"/>
  <c r="Q41"/>
  <c r="Q144"/>
  <c r="Q35"/>
  <c r="Q21"/>
  <c r="Q36"/>
  <c r="Q15"/>
  <c r="Q12"/>
  <c r="Q16"/>
  <c r="O143"/>
  <c r="O128"/>
  <c r="O115"/>
  <c r="O93"/>
  <c r="O76"/>
  <c r="O41"/>
  <c r="O144"/>
  <c r="O35"/>
  <c r="O21"/>
  <c r="O36"/>
  <c r="O15"/>
  <c r="O12"/>
  <c r="O16"/>
  <c r="O37"/>
  <c r="O130"/>
  <c r="O134"/>
  <c r="O145"/>
  <c r="O151"/>
  <c r="M143"/>
  <c r="M128"/>
  <c r="M115"/>
  <c r="M93"/>
  <c r="M76"/>
  <c r="M41"/>
  <c r="M144"/>
  <c r="M35"/>
  <c r="M21"/>
  <c r="M36"/>
  <c r="M15"/>
  <c r="M12"/>
  <c r="M16"/>
  <c r="M37"/>
  <c r="M130"/>
  <c r="M134"/>
  <c r="M145"/>
  <c r="M151"/>
  <c r="K143"/>
  <c r="K128"/>
  <c r="K115"/>
  <c r="K93"/>
  <c r="K76"/>
  <c r="K41"/>
  <c r="K144"/>
  <c r="K35"/>
  <c r="K21"/>
  <c r="K36"/>
  <c r="K15"/>
  <c r="K12"/>
  <c r="K16"/>
  <c r="K37"/>
  <c r="K130"/>
  <c r="K134"/>
  <c r="K145"/>
  <c r="K151"/>
  <c r="I143"/>
  <c r="I128"/>
  <c r="I115"/>
  <c r="I93"/>
  <c r="I76"/>
  <c r="I41"/>
  <c r="I144"/>
  <c r="I35"/>
  <c r="I21"/>
  <c r="I36"/>
  <c r="I15"/>
  <c r="I12"/>
  <c r="I16"/>
  <c r="I37"/>
  <c r="I130"/>
  <c r="I134"/>
  <c r="I145"/>
  <c r="I151"/>
  <c r="G143"/>
  <c r="G128"/>
  <c r="G115"/>
  <c r="G93"/>
  <c r="G76"/>
  <c r="G41"/>
  <c r="G144"/>
  <c r="G35"/>
  <c r="G21"/>
  <c r="G36"/>
  <c r="G15"/>
  <c r="G12"/>
  <c r="G16"/>
  <c r="G37"/>
  <c r="G130"/>
  <c r="G134"/>
  <c r="G145"/>
  <c r="G151"/>
  <c r="E143"/>
  <c r="E128"/>
  <c r="E115"/>
  <c r="E93"/>
  <c r="E76"/>
  <c r="E41"/>
  <c r="E144"/>
  <c r="E35"/>
  <c r="E21"/>
  <c r="E36"/>
  <c r="E16"/>
  <c r="E15"/>
  <c r="E12"/>
  <c r="F10" i="26"/>
  <c r="Z11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F7"/>
  <c r="D7"/>
  <c r="Z11" i="25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F7"/>
  <c r="D7"/>
  <c r="Z11" i="19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D10"/>
  <c r="D9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F7"/>
  <c r="D7"/>
  <c r="Z11" i="5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D10"/>
  <c r="L9"/>
  <c r="J9"/>
  <c r="H9"/>
  <c r="F9"/>
  <c r="D9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F7"/>
  <c r="D7"/>
  <c r="Y75" i="26"/>
  <c r="W75"/>
  <c r="U75"/>
  <c r="S75"/>
  <c r="Q75"/>
  <c r="O75"/>
  <c r="M75"/>
  <c r="K75"/>
  <c r="I75"/>
  <c r="G75"/>
  <c r="E75"/>
  <c r="C75"/>
  <c r="AA74"/>
  <c r="AA73"/>
  <c r="AA72"/>
  <c r="AA71"/>
  <c r="AA70"/>
  <c r="AA69"/>
  <c r="AA68"/>
  <c r="AA67"/>
  <c r="AA66"/>
  <c r="Y75" i="25"/>
  <c r="W75"/>
  <c r="U75"/>
  <c r="S75"/>
  <c r="Q75"/>
  <c r="O75"/>
  <c r="M75"/>
  <c r="K75"/>
  <c r="I75"/>
  <c r="G75"/>
  <c r="E75"/>
  <c r="Y75" i="19"/>
  <c r="W75"/>
  <c r="U75"/>
  <c r="S75"/>
  <c r="Q75"/>
  <c r="O75"/>
  <c r="M75"/>
  <c r="K75"/>
  <c r="I75"/>
  <c r="G75"/>
  <c r="E75"/>
  <c r="Y57" i="26"/>
  <c r="W57"/>
  <c r="U57"/>
  <c r="S57"/>
  <c r="Q57"/>
  <c r="O57"/>
  <c r="M57"/>
  <c r="K57"/>
  <c r="I57"/>
  <c r="G57"/>
  <c r="E57"/>
  <c r="C57"/>
  <c r="C75" i="25"/>
  <c r="C75" i="19"/>
  <c r="Y57" i="25"/>
  <c r="W57"/>
  <c r="U57"/>
  <c r="S57"/>
  <c r="Q57"/>
  <c r="O57"/>
  <c r="M57"/>
  <c r="K57"/>
  <c r="I57"/>
  <c r="G57"/>
  <c r="E57"/>
  <c r="C57"/>
  <c r="AA68" i="19"/>
  <c r="Y57"/>
  <c r="W57"/>
  <c r="U57"/>
  <c r="S57"/>
  <c r="Q57"/>
  <c r="O57"/>
  <c r="M57"/>
  <c r="K57"/>
  <c r="I57"/>
  <c r="G57"/>
  <c r="E57"/>
  <c r="C57"/>
  <c r="AA42" i="25"/>
  <c r="Y43" i="19"/>
  <c r="W43"/>
  <c r="U43"/>
  <c r="S43"/>
  <c r="Q43"/>
  <c r="O43"/>
  <c r="M43"/>
  <c r="K43"/>
  <c r="I43"/>
  <c r="G43"/>
  <c r="E43"/>
  <c r="C43"/>
  <c r="AA75" i="26"/>
  <c r="W37" i="21"/>
  <c r="W130"/>
  <c r="W134"/>
  <c r="W145"/>
  <c r="W151"/>
  <c r="U37"/>
  <c r="U130"/>
  <c r="U134"/>
  <c r="U145"/>
  <c r="U151"/>
  <c r="S37"/>
  <c r="S130"/>
  <c r="S134"/>
  <c r="S145"/>
  <c r="S151"/>
  <c r="Q37"/>
  <c r="Q130"/>
  <c r="Q134"/>
  <c r="Q145"/>
  <c r="Q151"/>
  <c r="E37"/>
  <c r="E130"/>
  <c r="E134"/>
  <c r="E145"/>
  <c r="E151"/>
  <c r="U75" i="5"/>
  <c r="U75" i="12"/>
  <c r="S75" i="5"/>
  <c r="S75" i="12"/>
  <c r="Q75" i="5"/>
  <c r="Q75" i="12"/>
  <c r="O75" i="5"/>
  <c r="O75" i="12"/>
  <c r="M75" i="5"/>
  <c r="M75" i="12"/>
  <c r="K75" i="5"/>
  <c r="K75" i="12"/>
  <c r="I75" i="5"/>
  <c r="I75" i="12"/>
  <c r="G75" i="5"/>
  <c r="G75" i="12"/>
  <c r="E75" i="5"/>
  <c r="C75"/>
  <c r="Y43"/>
  <c r="W43"/>
  <c r="U43"/>
  <c r="S43"/>
  <c r="Q43"/>
  <c r="O43"/>
  <c r="M43"/>
  <c r="K43"/>
  <c r="I43"/>
  <c r="G43"/>
  <c r="E43"/>
  <c r="C43"/>
  <c r="AA127"/>
  <c r="AA128"/>
  <c r="E75" i="12"/>
  <c r="AA118" i="1"/>
  <c r="AC118"/>
  <c r="W75"/>
  <c r="U75"/>
  <c r="S75"/>
  <c r="Q75"/>
  <c r="O75"/>
  <c r="M75"/>
  <c r="K75"/>
  <c r="I75"/>
  <c r="G75"/>
  <c r="E75"/>
  <c r="C75"/>
  <c r="AA68"/>
  <c r="M59"/>
  <c r="S59"/>
  <c r="Q59"/>
  <c r="O59"/>
  <c r="AA57"/>
  <c r="Y57"/>
  <c r="W57"/>
  <c r="U57"/>
  <c r="S57"/>
  <c r="Q57"/>
  <c r="O57"/>
  <c r="M57"/>
  <c r="K57"/>
  <c r="I57"/>
  <c r="G57"/>
  <c r="E57"/>
  <c r="C57"/>
  <c r="Y53"/>
  <c r="W53"/>
  <c r="U53"/>
  <c r="S53"/>
  <c r="Q53"/>
  <c r="O53"/>
  <c r="M53"/>
  <c r="K53"/>
  <c r="I53"/>
  <c r="G53"/>
  <c r="E53"/>
  <c r="C53"/>
  <c r="U44"/>
  <c r="S44"/>
  <c r="Q44"/>
  <c r="O44"/>
  <c r="M44"/>
  <c r="K44"/>
  <c r="I44"/>
  <c r="G44"/>
  <c r="E44"/>
  <c r="C44"/>
  <c r="W44"/>
  <c r="Y44"/>
  <c r="Y43"/>
  <c r="W43"/>
  <c r="U43"/>
  <c r="S43"/>
  <c r="Q43"/>
  <c r="O43"/>
  <c r="M43"/>
  <c r="K43"/>
  <c r="I43"/>
  <c r="G43"/>
  <c r="E43"/>
  <c r="C43"/>
  <c r="AH151" i="26"/>
  <c r="AC151"/>
  <c r="AH150"/>
  <c r="AA150"/>
  <c r="AC150"/>
  <c r="AH149"/>
  <c r="AC149"/>
  <c r="AH148"/>
  <c r="AA148"/>
  <c r="AC148"/>
  <c r="AH147"/>
  <c r="AC147"/>
  <c r="Y144"/>
  <c r="Q144"/>
  <c r="O144"/>
  <c r="M144"/>
  <c r="K144"/>
  <c r="I144"/>
  <c r="G144"/>
  <c r="E144"/>
  <c r="C144"/>
  <c r="AH143"/>
  <c r="AA143"/>
  <c r="AC143"/>
  <c r="AH142"/>
  <c r="AA142"/>
  <c r="AH141"/>
  <c r="AA141"/>
  <c r="AC141"/>
  <c r="AH140"/>
  <c r="AA140"/>
  <c r="AH139"/>
  <c r="AA139"/>
  <c r="AC139"/>
  <c r="AH138"/>
  <c r="AH137"/>
  <c r="AI138"/>
  <c r="AH136"/>
  <c r="AA136"/>
  <c r="AC136"/>
  <c r="AH134"/>
  <c r="AC134"/>
  <c r="AH133"/>
  <c r="AA133"/>
  <c r="AC133"/>
  <c r="AH132"/>
  <c r="AC132"/>
  <c r="AH130"/>
  <c r="AC130"/>
  <c r="AH128"/>
  <c r="AA128"/>
  <c r="AC128"/>
  <c r="AH127"/>
  <c r="AA127"/>
  <c r="AC127"/>
  <c r="AH125"/>
  <c r="AA125"/>
  <c r="AC125"/>
  <c r="AH124"/>
  <c r="AC124"/>
  <c r="AA124"/>
  <c r="AH123"/>
  <c r="AA123"/>
  <c r="AC123"/>
  <c r="AH122"/>
  <c r="AA122"/>
  <c r="AC122"/>
  <c r="AH121"/>
  <c r="AA121"/>
  <c r="AC121"/>
  <c r="AH120"/>
  <c r="AA120"/>
  <c r="AC120"/>
  <c r="AH119"/>
  <c r="AA119"/>
  <c r="AC119"/>
  <c r="AH117"/>
  <c r="AA117"/>
  <c r="AC117" s="1"/>
  <c r="AD117" s="1"/>
  <c r="AH116"/>
  <c r="AA116"/>
  <c r="Y115"/>
  <c r="W115"/>
  <c r="U115"/>
  <c r="S115"/>
  <c r="Q115"/>
  <c r="O115"/>
  <c r="M115"/>
  <c r="K115"/>
  <c r="I115"/>
  <c r="G115"/>
  <c r="E115"/>
  <c r="C115"/>
  <c r="AH107"/>
  <c r="AH106"/>
  <c r="AH105"/>
  <c r="AH104"/>
  <c r="AH103"/>
  <c r="AH102"/>
  <c r="AH101"/>
  <c r="AH99"/>
  <c r="AH98"/>
  <c r="AH97"/>
  <c r="AH96"/>
  <c r="AH95"/>
  <c r="AH94"/>
  <c r="Y93"/>
  <c r="W93"/>
  <c r="U93"/>
  <c r="S93"/>
  <c r="Q93"/>
  <c r="AH93" s="1"/>
  <c r="O93"/>
  <c r="M93"/>
  <c r="K93"/>
  <c r="I93"/>
  <c r="G93"/>
  <c r="E93"/>
  <c r="C93"/>
  <c r="AH92"/>
  <c r="AA92"/>
  <c r="AC92"/>
  <c r="AH91"/>
  <c r="AA91"/>
  <c r="AC91"/>
  <c r="AH90"/>
  <c r="AA90"/>
  <c r="AC90"/>
  <c r="AH89"/>
  <c r="AA89"/>
  <c r="AH88"/>
  <c r="AA88"/>
  <c r="AC88" s="1"/>
  <c r="AD88" s="1"/>
  <c r="AH87"/>
  <c r="AA87"/>
  <c r="AC87"/>
  <c r="AH86"/>
  <c r="AA86"/>
  <c r="AC86"/>
  <c r="AH85"/>
  <c r="AA85"/>
  <c r="AC85"/>
  <c r="AH84"/>
  <c r="AA84"/>
  <c r="AC84"/>
  <c r="AH83"/>
  <c r="AA83"/>
  <c r="AC83"/>
  <c r="AH82"/>
  <c r="AE82"/>
  <c r="AA82"/>
  <c r="AC82"/>
  <c r="AH81"/>
  <c r="AA81"/>
  <c r="AC81"/>
  <c r="AH80"/>
  <c r="AA80"/>
  <c r="AC80"/>
  <c r="AH79"/>
  <c r="AA79"/>
  <c r="AC79"/>
  <c r="AH78"/>
  <c r="AA78"/>
  <c r="AC78"/>
  <c r="AH77"/>
  <c r="AA77"/>
  <c r="AC77"/>
  <c r="AC75"/>
  <c r="AC73"/>
  <c r="AC72"/>
  <c r="AC71"/>
  <c r="AC70"/>
  <c r="AH69"/>
  <c r="AC69"/>
  <c r="AH68"/>
  <c r="AC68"/>
  <c r="AH67"/>
  <c r="AC67"/>
  <c r="AH66"/>
  <c r="AC66"/>
  <c r="AH65"/>
  <c r="AE65"/>
  <c r="AA65"/>
  <c r="AC65"/>
  <c r="AH64"/>
  <c r="AA64"/>
  <c r="AC64"/>
  <c r="AH63"/>
  <c r="AA63"/>
  <c r="AC63"/>
  <c r="AH62"/>
  <c r="AA62"/>
  <c r="AC62"/>
  <c r="AH61"/>
  <c r="AA61"/>
  <c r="AC61"/>
  <c r="AH60"/>
  <c r="AA60"/>
  <c r="AC60"/>
  <c r="AH59"/>
  <c r="AA59"/>
  <c r="AC59" s="1"/>
  <c r="AD59" s="1"/>
  <c r="AH58"/>
  <c r="AA58"/>
  <c r="AC58"/>
  <c r="AH57"/>
  <c r="AA57"/>
  <c r="AC57"/>
  <c r="AH56"/>
  <c r="AA56"/>
  <c r="AC56"/>
  <c r="AH55"/>
  <c r="AA55"/>
  <c r="AC55"/>
  <c r="AH54"/>
  <c r="AA54"/>
  <c r="AC54"/>
  <c r="AH53"/>
  <c r="AA53"/>
  <c r="AC53"/>
  <c r="AH52"/>
  <c r="AA52"/>
  <c r="AH51"/>
  <c r="AA51"/>
  <c r="AC51"/>
  <c r="AH50"/>
  <c r="AA50"/>
  <c r="AC50"/>
  <c r="AH49"/>
  <c r="AA49"/>
  <c r="AC49"/>
  <c r="AH48"/>
  <c r="AA48"/>
  <c r="AC48"/>
  <c r="AH47"/>
  <c r="AA47"/>
  <c r="AC47"/>
  <c r="AH46"/>
  <c r="AA46"/>
  <c r="AC46"/>
  <c r="AH45"/>
  <c r="AA45"/>
  <c r="AC45"/>
  <c r="AH44"/>
  <c r="AA44"/>
  <c r="AC44"/>
  <c r="AH43"/>
  <c r="AA43"/>
  <c r="AC43"/>
  <c r="AH42"/>
  <c r="AA42"/>
  <c r="AC42"/>
  <c r="Y41"/>
  <c r="W41"/>
  <c r="U41"/>
  <c r="S41"/>
  <c r="Q41"/>
  <c r="AH41"/>
  <c r="O41"/>
  <c r="M41"/>
  <c r="K41"/>
  <c r="I41"/>
  <c r="G41"/>
  <c r="E41"/>
  <c r="C41"/>
  <c r="AH40"/>
  <c r="AA40"/>
  <c r="AC40"/>
  <c r="AH39"/>
  <c r="AA39"/>
  <c r="AA41"/>
  <c r="AH38"/>
  <c r="AA38"/>
  <c r="AC38"/>
  <c r="AH34"/>
  <c r="AA34"/>
  <c r="AC34"/>
  <c r="AH33"/>
  <c r="AA33"/>
  <c r="AC33"/>
  <c r="AH32"/>
  <c r="AA32"/>
  <c r="AC32"/>
  <c r="AH31"/>
  <c r="AA31"/>
  <c r="AC31"/>
  <c r="AH30"/>
  <c r="AA30"/>
  <c r="AC30"/>
  <c r="AH29"/>
  <c r="AA29"/>
  <c r="AC29"/>
  <c r="AH28"/>
  <c r="AA28"/>
  <c r="AC28"/>
  <c r="AH26"/>
  <c r="AA26"/>
  <c r="AC26"/>
  <c r="AH25"/>
  <c r="AA25"/>
  <c r="AC25" s="1"/>
  <c r="AD25" s="1"/>
  <c r="AH24"/>
  <c r="AA24"/>
  <c r="AC24"/>
  <c r="AH23"/>
  <c r="AA23"/>
  <c r="AC23"/>
  <c r="AH22"/>
  <c r="AA22"/>
  <c r="AC22"/>
  <c r="AH20"/>
  <c r="AA20"/>
  <c r="AC20"/>
  <c r="AH19"/>
  <c r="AA19"/>
  <c r="AH18"/>
  <c r="AA18"/>
  <c r="AC18"/>
  <c r="Y15"/>
  <c r="W15"/>
  <c r="U15"/>
  <c r="S15"/>
  <c r="Q15"/>
  <c r="AH15"/>
  <c r="O15"/>
  <c r="M15"/>
  <c r="K15"/>
  <c r="I15"/>
  <c r="G15"/>
  <c r="E15"/>
  <c r="C15"/>
  <c r="AH14"/>
  <c r="AA14"/>
  <c r="AC14"/>
  <c r="AH13"/>
  <c r="AC13"/>
  <c r="AA13"/>
  <c r="AA15"/>
  <c r="AC15"/>
  <c r="Y12"/>
  <c r="W12"/>
  <c r="U12"/>
  <c r="S12"/>
  <c r="Q12"/>
  <c r="O12"/>
  <c r="M12"/>
  <c r="K12"/>
  <c r="I12"/>
  <c r="G12"/>
  <c r="E12"/>
  <c r="C12"/>
  <c r="AH11"/>
  <c r="AA11"/>
  <c r="AC11"/>
  <c r="AH10"/>
  <c r="AA10"/>
  <c r="AC10"/>
  <c r="AH9"/>
  <c r="AA9"/>
  <c r="AC9"/>
  <c r="AH8"/>
  <c r="AA8"/>
  <c r="AC8"/>
  <c r="AH7"/>
  <c r="AA7"/>
  <c r="AC7"/>
  <c r="AH6"/>
  <c r="AA6"/>
  <c r="AC6"/>
  <c r="AH5"/>
  <c r="AA5"/>
  <c r="AC5"/>
  <c r="Q115" i="19"/>
  <c r="Y144" i="25"/>
  <c r="U144"/>
  <c r="S144"/>
  <c r="Y115"/>
  <c r="Y93"/>
  <c r="Y76"/>
  <c r="Y41"/>
  <c r="Y15"/>
  <c r="Y12"/>
  <c r="W144"/>
  <c r="W115"/>
  <c r="W93"/>
  <c r="W76"/>
  <c r="W41"/>
  <c r="W15"/>
  <c r="W12"/>
  <c r="U115"/>
  <c r="U93"/>
  <c r="U76"/>
  <c r="U41"/>
  <c r="U15"/>
  <c r="U12"/>
  <c r="S115"/>
  <c r="S93"/>
  <c r="S76"/>
  <c r="S41"/>
  <c r="S15"/>
  <c r="S12"/>
  <c r="AC52" i="26"/>
  <c r="AA52" i="12"/>
  <c r="F128" i="26"/>
  <c r="F127"/>
  <c r="F72"/>
  <c r="F68"/>
  <c r="N128"/>
  <c r="N127"/>
  <c r="N72"/>
  <c r="N68"/>
  <c r="V128"/>
  <c r="V127"/>
  <c r="V72"/>
  <c r="V68"/>
  <c r="D128"/>
  <c r="D127"/>
  <c r="D72"/>
  <c r="D68"/>
  <c r="L128"/>
  <c r="L127"/>
  <c r="L72"/>
  <c r="L68"/>
  <c r="T128"/>
  <c r="T127"/>
  <c r="T72"/>
  <c r="T68"/>
  <c r="J72"/>
  <c r="J68"/>
  <c r="J128"/>
  <c r="J127"/>
  <c r="R72"/>
  <c r="R68"/>
  <c r="R128"/>
  <c r="R127"/>
  <c r="Z72"/>
  <c r="Z68"/>
  <c r="Z128"/>
  <c r="Z127"/>
  <c r="H72"/>
  <c r="H68"/>
  <c r="H128"/>
  <c r="H127"/>
  <c r="P72"/>
  <c r="P68"/>
  <c r="P128"/>
  <c r="P127"/>
  <c r="X72"/>
  <c r="X68"/>
  <c r="X128"/>
  <c r="X127"/>
  <c r="Z127" i="25"/>
  <c r="Z68"/>
  <c r="Z128"/>
  <c r="Z72"/>
  <c r="T128"/>
  <c r="T72"/>
  <c r="T127"/>
  <c r="T68"/>
  <c r="X128"/>
  <c r="X72"/>
  <c r="X127"/>
  <c r="X68"/>
  <c r="V128"/>
  <c r="V72"/>
  <c r="V127"/>
  <c r="V68"/>
  <c r="D71" i="26"/>
  <c r="D26"/>
  <c r="D75"/>
  <c r="D73"/>
  <c r="D69"/>
  <c r="D74"/>
  <c r="D70"/>
  <c r="D66"/>
  <c r="L71"/>
  <c r="L66"/>
  <c r="L26"/>
  <c r="L75"/>
  <c r="L73"/>
  <c r="L69"/>
  <c r="L70"/>
  <c r="T66"/>
  <c r="T26"/>
  <c r="T75"/>
  <c r="T73"/>
  <c r="T69"/>
  <c r="T70"/>
  <c r="T71"/>
  <c r="J26"/>
  <c r="J73"/>
  <c r="J70"/>
  <c r="J71"/>
  <c r="J75"/>
  <c r="J66"/>
  <c r="J69"/>
  <c r="R66"/>
  <c r="R69"/>
  <c r="R70"/>
  <c r="R71"/>
  <c r="R26"/>
  <c r="R75"/>
  <c r="R73"/>
  <c r="Z73"/>
  <c r="Z69"/>
  <c r="Z70"/>
  <c r="Z71"/>
  <c r="Z26"/>
  <c r="Z75"/>
  <c r="Z66"/>
  <c r="H69"/>
  <c r="H75"/>
  <c r="H71"/>
  <c r="H26"/>
  <c r="H66"/>
  <c r="H73"/>
  <c r="H70"/>
  <c r="P26"/>
  <c r="P67"/>
  <c r="P73"/>
  <c r="P70"/>
  <c r="P69"/>
  <c r="P75"/>
  <c r="P71"/>
  <c r="P66"/>
  <c r="X71"/>
  <c r="X26"/>
  <c r="X66"/>
  <c r="X73"/>
  <c r="X69"/>
  <c r="X70"/>
  <c r="X75"/>
  <c r="F70"/>
  <c r="F71"/>
  <c r="F75"/>
  <c r="F26"/>
  <c r="F66"/>
  <c r="F73"/>
  <c r="F69"/>
  <c r="N71"/>
  <c r="N26"/>
  <c r="N67"/>
  <c r="N66"/>
  <c r="N73"/>
  <c r="N69"/>
  <c r="N75"/>
  <c r="N70"/>
  <c r="V75"/>
  <c r="V26"/>
  <c r="V66"/>
  <c r="V73"/>
  <c r="V69"/>
  <c r="V70"/>
  <c r="V71"/>
  <c r="T26" i="25"/>
  <c r="V26"/>
  <c r="X26"/>
  <c r="Z26"/>
  <c r="Z65" i="26"/>
  <c r="Z51"/>
  <c r="Z62"/>
  <c r="Z43"/>
  <c r="Z63"/>
  <c r="Z56"/>
  <c r="Z45"/>
  <c r="Z64"/>
  <c r="Z57"/>
  <c r="Z46"/>
  <c r="Z125"/>
  <c r="Z119"/>
  <c r="Z122"/>
  <c r="Z120"/>
  <c r="Z121"/>
  <c r="X65"/>
  <c r="X63"/>
  <c r="X56"/>
  <c r="X51"/>
  <c r="X45"/>
  <c r="X64"/>
  <c r="X43"/>
  <c r="X57"/>
  <c r="X62"/>
  <c r="X46"/>
  <c r="X125"/>
  <c r="X121"/>
  <c r="X119"/>
  <c r="X120"/>
  <c r="X122"/>
  <c r="V62"/>
  <c r="V57"/>
  <c r="V43"/>
  <c r="V46"/>
  <c r="V56"/>
  <c r="V65"/>
  <c r="V51"/>
  <c r="V64"/>
  <c r="V63"/>
  <c r="V45"/>
  <c r="V122"/>
  <c r="V121"/>
  <c r="V120"/>
  <c r="V125"/>
  <c r="V119"/>
  <c r="T65"/>
  <c r="T64"/>
  <c r="T63"/>
  <c r="T62"/>
  <c r="T56"/>
  <c r="T51"/>
  <c r="T46"/>
  <c r="T45"/>
  <c r="T43"/>
  <c r="T57"/>
  <c r="T121"/>
  <c r="T125"/>
  <c r="T122"/>
  <c r="T119"/>
  <c r="T120"/>
  <c r="Y16" i="25"/>
  <c r="Z65"/>
  <c r="Z57"/>
  <c r="Z46"/>
  <c r="Z62"/>
  <c r="Z56"/>
  <c r="Z51"/>
  <c r="Z45"/>
  <c r="Z119"/>
  <c r="Z75"/>
  <c r="Z122"/>
  <c r="Z120"/>
  <c r="Z125"/>
  <c r="Z121"/>
  <c r="W16"/>
  <c r="X62"/>
  <c r="X57"/>
  <c r="X51"/>
  <c r="X45"/>
  <c r="X65"/>
  <c r="X46"/>
  <c r="X56"/>
  <c r="X75"/>
  <c r="X122"/>
  <c r="X120"/>
  <c r="X125"/>
  <c r="X119"/>
  <c r="X121"/>
  <c r="U16"/>
  <c r="V65"/>
  <c r="V62"/>
  <c r="V56"/>
  <c r="V51"/>
  <c r="V45"/>
  <c r="V57"/>
  <c r="V46"/>
  <c r="V121"/>
  <c r="V75"/>
  <c r="V125"/>
  <c r="V122"/>
  <c r="V120"/>
  <c r="V119"/>
  <c r="S16"/>
  <c r="T62"/>
  <c r="T57"/>
  <c r="T51"/>
  <c r="T65"/>
  <c r="T56"/>
  <c r="T45"/>
  <c r="T75"/>
  <c r="T46"/>
  <c r="T121"/>
  <c r="T125"/>
  <c r="T119"/>
  <c r="T120"/>
  <c r="T122"/>
  <c r="R64" i="26"/>
  <c r="R57"/>
  <c r="R46"/>
  <c r="R65"/>
  <c r="R51"/>
  <c r="R63"/>
  <c r="R56"/>
  <c r="R62"/>
  <c r="R43"/>
  <c r="R45"/>
  <c r="R120"/>
  <c r="R125"/>
  <c r="R121"/>
  <c r="R122"/>
  <c r="R119"/>
  <c r="P46"/>
  <c r="P43"/>
  <c r="P64"/>
  <c r="P62"/>
  <c r="P56"/>
  <c r="P51"/>
  <c r="P45"/>
  <c r="P65"/>
  <c r="P63"/>
  <c r="P57"/>
  <c r="P125"/>
  <c r="P121"/>
  <c r="P119"/>
  <c r="P122"/>
  <c r="P120"/>
  <c r="N65"/>
  <c r="N56"/>
  <c r="N45"/>
  <c r="N64"/>
  <c r="N57"/>
  <c r="N43"/>
  <c r="N63"/>
  <c r="N51"/>
  <c r="N62"/>
  <c r="N46"/>
  <c r="N125"/>
  <c r="N122"/>
  <c r="N121"/>
  <c r="N120"/>
  <c r="N119"/>
  <c r="L57"/>
  <c r="L65"/>
  <c r="L64"/>
  <c r="L63"/>
  <c r="L62"/>
  <c r="L56"/>
  <c r="L51"/>
  <c r="L46"/>
  <c r="L45"/>
  <c r="L43"/>
  <c r="L125"/>
  <c r="L122"/>
  <c r="L121"/>
  <c r="L120"/>
  <c r="L119"/>
  <c r="J63"/>
  <c r="J51"/>
  <c r="J64"/>
  <c r="J43"/>
  <c r="J65"/>
  <c r="J56"/>
  <c r="J45"/>
  <c r="J62"/>
  <c r="J57"/>
  <c r="J46"/>
  <c r="J120"/>
  <c r="J121"/>
  <c r="J122"/>
  <c r="J125"/>
  <c r="J119"/>
  <c r="H64"/>
  <c r="H62"/>
  <c r="H56"/>
  <c r="H51"/>
  <c r="H45"/>
  <c r="H57"/>
  <c r="H65"/>
  <c r="H63"/>
  <c r="H46"/>
  <c r="H43"/>
  <c r="H122"/>
  <c r="H120"/>
  <c r="H125"/>
  <c r="H121"/>
  <c r="H119"/>
  <c r="F65"/>
  <c r="F56"/>
  <c r="F45"/>
  <c r="F64"/>
  <c r="F57"/>
  <c r="F43"/>
  <c r="F63"/>
  <c r="F51"/>
  <c r="F62"/>
  <c r="F46"/>
  <c r="F121"/>
  <c r="F120"/>
  <c r="F125"/>
  <c r="F119"/>
  <c r="F122"/>
  <c r="D57"/>
  <c r="D65"/>
  <c r="D64"/>
  <c r="D63"/>
  <c r="D62"/>
  <c r="D56"/>
  <c r="D51"/>
  <c r="D46"/>
  <c r="D45"/>
  <c r="D43"/>
  <c r="D125"/>
  <c r="D122"/>
  <c r="D121"/>
  <c r="D120"/>
  <c r="D119"/>
  <c r="AA12"/>
  <c r="AB87"/>
  <c r="AD7"/>
  <c r="AD8"/>
  <c r="AD9"/>
  <c r="AD10"/>
  <c r="AD11"/>
  <c r="AC41"/>
  <c r="D41"/>
  <c r="H41"/>
  <c r="L41"/>
  <c r="P41"/>
  <c r="T41"/>
  <c r="X41"/>
  <c r="AB8"/>
  <c r="AB10"/>
  <c r="D12"/>
  <c r="F12"/>
  <c r="H12"/>
  <c r="J12"/>
  <c r="L12"/>
  <c r="N12"/>
  <c r="P12"/>
  <c r="R12"/>
  <c r="T12"/>
  <c r="V12"/>
  <c r="X12"/>
  <c r="Z12"/>
  <c r="D19"/>
  <c r="H19"/>
  <c r="L19"/>
  <c r="P19"/>
  <c r="T19"/>
  <c r="X19"/>
  <c r="AC19"/>
  <c r="F22"/>
  <c r="J22"/>
  <c r="N22"/>
  <c r="R22"/>
  <c r="V22"/>
  <c r="Z22"/>
  <c r="D23"/>
  <c r="H23"/>
  <c r="L23"/>
  <c r="P23"/>
  <c r="T23"/>
  <c r="X23"/>
  <c r="F24"/>
  <c r="J24"/>
  <c r="N24"/>
  <c r="R24"/>
  <c r="V24"/>
  <c r="Z24"/>
  <c r="F28"/>
  <c r="J28"/>
  <c r="N28"/>
  <c r="R28"/>
  <c r="V28"/>
  <c r="Z28"/>
  <c r="D29"/>
  <c r="H29"/>
  <c r="L29"/>
  <c r="P29"/>
  <c r="T29"/>
  <c r="X29"/>
  <c r="F30"/>
  <c r="J30"/>
  <c r="N30"/>
  <c r="R30"/>
  <c r="V30"/>
  <c r="Z30"/>
  <c r="D31"/>
  <c r="H31"/>
  <c r="L31"/>
  <c r="P31"/>
  <c r="T31"/>
  <c r="X31"/>
  <c r="F32"/>
  <c r="J32"/>
  <c r="N32"/>
  <c r="R32"/>
  <c r="V32"/>
  <c r="Z32"/>
  <c r="D33"/>
  <c r="H33"/>
  <c r="L33"/>
  <c r="P33"/>
  <c r="T33"/>
  <c r="X33"/>
  <c r="F34"/>
  <c r="J34"/>
  <c r="N34"/>
  <c r="R34"/>
  <c r="V34"/>
  <c r="Z34"/>
  <c r="J38"/>
  <c r="R38"/>
  <c r="Z38"/>
  <c r="H39"/>
  <c r="P39"/>
  <c r="X39"/>
  <c r="AC39"/>
  <c r="F40"/>
  <c r="N40"/>
  <c r="J42"/>
  <c r="R42"/>
  <c r="Z42"/>
  <c r="F44"/>
  <c r="N44"/>
  <c r="V44"/>
  <c r="H47"/>
  <c r="P47"/>
  <c r="X47"/>
  <c r="F48"/>
  <c r="N48"/>
  <c r="V48"/>
  <c r="D49"/>
  <c r="L49"/>
  <c r="T49"/>
  <c r="J50"/>
  <c r="R50"/>
  <c r="Z50"/>
  <c r="F52"/>
  <c r="N52"/>
  <c r="V52"/>
  <c r="J54"/>
  <c r="R54"/>
  <c r="Z54"/>
  <c r="J58"/>
  <c r="R58"/>
  <c r="Z58"/>
  <c r="F60"/>
  <c r="N60"/>
  <c r="V60"/>
  <c r="D61"/>
  <c r="L61"/>
  <c r="T61"/>
  <c r="F76"/>
  <c r="J76"/>
  <c r="N76"/>
  <c r="R76"/>
  <c r="V76"/>
  <c r="Z76"/>
  <c r="F77"/>
  <c r="N77"/>
  <c r="V77"/>
  <c r="D78"/>
  <c r="L78"/>
  <c r="T78"/>
  <c r="J79"/>
  <c r="R79"/>
  <c r="Z79"/>
  <c r="H80"/>
  <c r="P80"/>
  <c r="X80"/>
  <c r="F81"/>
  <c r="N81"/>
  <c r="V81"/>
  <c r="D82"/>
  <c r="L82"/>
  <c r="T82"/>
  <c r="D83"/>
  <c r="L83"/>
  <c r="T83"/>
  <c r="J84"/>
  <c r="R84"/>
  <c r="Z84"/>
  <c r="H85"/>
  <c r="P85"/>
  <c r="X85"/>
  <c r="F86"/>
  <c r="N86"/>
  <c r="V86"/>
  <c r="D87"/>
  <c r="L87"/>
  <c r="X87"/>
  <c r="D89"/>
  <c r="T89"/>
  <c r="R90"/>
  <c r="P91"/>
  <c r="N92"/>
  <c r="D148"/>
  <c r="D143"/>
  <c r="D141"/>
  <c r="D139"/>
  <c r="D136"/>
  <c r="D142"/>
  <c r="D140"/>
  <c r="D138"/>
  <c r="D137"/>
  <c r="D116"/>
  <c r="D92"/>
  <c r="D90"/>
  <c r="D91"/>
  <c r="D86"/>
  <c r="D84"/>
  <c r="D81"/>
  <c r="D79"/>
  <c r="D77"/>
  <c r="D60"/>
  <c r="D58"/>
  <c r="D54"/>
  <c r="D52"/>
  <c r="D50"/>
  <c r="D48"/>
  <c r="D44"/>
  <c r="D42"/>
  <c r="D40"/>
  <c r="D38"/>
  <c r="F142"/>
  <c r="F140"/>
  <c r="F138"/>
  <c r="F137"/>
  <c r="F148"/>
  <c r="F143"/>
  <c r="F141"/>
  <c r="F139"/>
  <c r="F136"/>
  <c r="F91"/>
  <c r="F89"/>
  <c r="F116"/>
  <c r="F90"/>
  <c r="F87"/>
  <c r="F85"/>
  <c r="F83"/>
  <c r="F82"/>
  <c r="F80"/>
  <c r="F78"/>
  <c r="F61"/>
  <c r="F49"/>
  <c r="F47"/>
  <c r="F39"/>
  <c r="H148"/>
  <c r="H143"/>
  <c r="H141"/>
  <c r="H139"/>
  <c r="H136"/>
  <c r="H142"/>
  <c r="H140"/>
  <c r="H138"/>
  <c r="H137"/>
  <c r="H116"/>
  <c r="H92"/>
  <c r="H90"/>
  <c r="H89"/>
  <c r="H86"/>
  <c r="H84"/>
  <c r="H81"/>
  <c r="H79"/>
  <c r="H77"/>
  <c r="H60"/>
  <c r="H58"/>
  <c r="H54"/>
  <c r="H52"/>
  <c r="H50"/>
  <c r="H48"/>
  <c r="H44"/>
  <c r="H42"/>
  <c r="H40"/>
  <c r="H38"/>
  <c r="J142"/>
  <c r="J140"/>
  <c r="J138"/>
  <c r="J137"/>
  <c r="J148"/>
  <c r="J143"/>
  <c r="J141"/>
  <c r="J139"/>
  <c r="J136"/>
  <c r="J91"/>
  <c r="J89"/>
  <c r="J116"/>
  <c r="J92"/>
  <c r="J87"/>
  <c r="J85"/>
  <c r="J83"/>
  <c r="J82"/>
  <c r="J80"/>
  <c r="J78"/>
  <c r="J61"/>
  <c r="J49"/>
  <c r="J47"/>
  <c r="J39"/>
  <c r="L148"/>
  <c r="L143"/>
  <c r="L141"/>
  <c r="L139"/>
  <c r="L136"/>
  <c r="L142"/>
  <c r="L140"/>
  <c r="L138"/>
  <c r="L137"/>
  <c r="L116"/>
  <c r="L92"/>
  <c r="L90"/>
  <c r="L91"/>
  <c r="L86"/>
  <c r="L84"/>
  <c r="L81"/>
  <c r="L79"/>
  <c r="L77"/>
  <c r="L60"/>
  <c r="L58"/>
  <c r="L54"/>
  <c r="L52"/>
  <c r="L50"/>
  <c r="L48"/>
  <c r="L44"/>
  <c r="L42"/>
  <c r="L40"/>
  <c r="L38"/>
  <c r="N142"/>
  <c r="N140"/>
  <c r="N138"/>
  <c r="N137"/>
  <c r="N148"/>
  <c r="N143"/>
  <c r="N141"/>
  <c r="N139"/>
  <c r="N136"/>
  <c r="N91"/>
  <c r="N89"/>
  <c r="N116"/>
  <c r="N90"/>
  <c r="N87"/>
  <c r="N85"/>
  <c r="N83"/>
  <c r="N82"/>
  <c r="N80"/>
  <c r="N78"/>
  <c r="N61"/>
  <c r="N49"/>
  <c r="N47"/>
  <c r="N39"/>
  <c r="P148"/>
  <c r="P143"/>
  <c r="P141"/>
  <c r="P139"/>
  <c r="P136"/>
  <c r="P142"/>
  <c r="P140"/>
  <c r="P138"/>
  <c r="P137"/>
  <c r="P116"/>
  <c r="P92"/>
  <c r="P90"/>
  <c r="P89"/>
  <c r="P86"/>
  <c r="P84"/>
  <c r="P81"/>
  <c r="P79"/>
  <c r="P77"/>
  <c r="P60"/>
  <c r="P58"/>
  <c r="P54"/>
  <c r="P52"/>
  <c r="P50"/>
  <c r="P48"/>
  <c r="P44"/>
  <c r="P42"/>
  <c r="P38"/>
  <c r="R142"/>
  <c r="R140"/>
  <c r="R138"/>
  <c r="R137"/>
  <c r="R148"/>
  <c r="R143"/>
  <c r="R141"/>
  <c r="R139"/>
  <c r="R136"/>
  <c r="R91"/>
  <c r="R89"/>
  <c r="R87"/>
  <c r="R116"/>
  <c r="R92"/>
  <c r="R85"/>
  <c r="R83"/>
  <c r="R82"/>
  <c r="R80"/>
  <c r="R78"/>
  <c r="R61"/>
  <c r="R49"/>
  <c r="R47"/>
  <c r="R39"/>
  <c r="T148"/>
  <c r="T143"/>
  <c r="T141"/>
  <c r="T139"/>
  <c r="T136"/>
  <c r="T142"/>
  <c r="T140"/>
  <c r="T116"/>
  <c r="T92"/>
  <c r="T90"/>
  <c r="T91"/>
  <c r="T87"/>
  <c r="T86"/>
  <c r="T84"/>
  <c r="T81"/>
  <c r="T79"/>
  <c r="T77"/>
  <c r="T60"/>
  <c r="T58"/>
  <c r="T54"/>
  <c r="T52"/>
  <c r="T50"/>
  <c r="T48"/>
  <c r="T44"/>
  <c r="T42"/>
  <c r="T40"/>
  <c r="T38"/>
  <c r="V142"/>
  <c r="V140"/>
  <c r="V148"/>
  <c r="V143"/>
  <c r="V141"/>
  <c r="V139"/>
  <c r="V136"/>
  <c r="V91"/>
  <c r="V89"/>
  <c r="V87"/>
  <c r="V116"/>
  <c r="V90"/>
  <c r="V85"/>
  <c r="V83"/>
  <c r="V82"/>
  <c r="V80"/>
  <c r="V78"/>
  <c r="V61"/>
  <c r="V49"/>
  <c r="V47"/>
  <c r="V39"/>
  <c r="X148"/>
  <c r="X143"/>
  <c r="X141"/>
  <c r="X139"/>
  <c r="X136"/>
  <c r="X142"/>
  <c r="X140"/>
  <c r="X116"/>
  <c r="X92"/>
  <c r="X90"/>
  <c r="X89"/>
  <c r="X86"/>
  <c r="X84"/>
  <c r="X81"/>
  <c r="X79"/>
  <c r="X77"/>
  <c r="X60"/>
  <c r="X58"/>
  <c r="X54"/>
  <c r="X52"/>
  <c r="X50"/>
  <c r="X48"/>
  <c r="X44"/>
  <c r="X42"/>
  <c r="X40"/>
  <c r="X38"/>
  <c r="Z142"/>
  <c r="Z140"/>
  <c r="Z148"/>
  <c r="Z143"/>
  <c r="Z141"/>
  <c r="Z139"/>
  <c r="Z138"/>
  <c r="Z137"/>
  <c r="Z136"/>
  <c r="Z91"/>
  <c r="Z89"/>
  <c r="Z87"/>
  <c r="Z116"/>
  <c r="Z92"/>
  <c r="Z88"/>
  <c r="Z85"/>
  <c r="Z83"/>
  <c r="Z82"/>
  <c r="Z80"/>
  <c r="Z78"/>
  <c r="Z61"/>
  <c r="Z49"/>
  <c r="Z47"/>
  <c r="Z39"/>
  <c r="F41"/>
  <c r="J41"/>
  <c r="N41"/>
  <c r="R41"/>
  <c r="V41"/>
  <c r="Z41"/>
  <c r="AC89"/>
  <c r="AB7"/>
  <c r="AB9"/>
  <c r="AB11"/>
  <c r="AH12"/>
  <c r="C16"/>
  <c r="E16"/>
  <c r="E27"/>
  <c r="G16"/>
  <c r="G27"/>
  <c r="I16"/>
  <c r="I27"/>
  <c r="K16"/>
  <c r="K27"/>
  <c r="M16"/>
  <c r="M27"/>
  <c r="O16"/>
  <c r="O27"/>
  <c r="Q16"/>
  <c r="Q27"/>
  <c r="S16"/>
  <c r="U16"/>
  <c r="W16"/>
  <c r="Y16"/>
  <c r="F19"/>
  <c r="J19"/>
  <c r="N19"/>
  <c r="R19"/>
  <c r="V19"/>
  <c r="Z19"/>
  <c r="D22"/>
  <c r="H22"/>
  <c r="L22"/>
  <c r="P22"/>
  <c r="T22"/>
  <c r="X22"/>
  <c r="F23"/>
  <c r="J23"/>
  <c r="N23"/>
  <c r="R23"/>
  <c r="V23"/>
  <c r="Z23"/>
  <c r="D24"/>
  <c r="H24"/>
  <c r="L24"/>
  <c r="P24"/>
  <c r="T24"/>
  <c r="X24"/>
  <c r="D28"/>
  <c r="H28"/>
  <c r="L28"/>
  <c r="P28"/>
  <c r="T28"/>
  <c r="X28"/>
  <c r="F29"/>
  <c r="J29"/>
  <c r="N29"/>
  <c r="R29"/>
  <c r="V29"/>
  <c r="Z29"/>
  <c r="D30"/>
  <c r="H30"/>
  <c r="L30"/>
  <c r="P30"/>
  <c r="T30"/>
  <c r="X30"/>
  <c r="F31"/>
  <c r="J31"/>
  <c r="N31"/>
  <c r="R31"/>
  <c r="V31"/>
  <c r="Z31"/>
  <c r="D32"/>
  <c r="H32"/>
  <c r="L32"/>
  <c r="P32"/>
  <c r="T32"/>
  <c r="X32"/>
  <c r="F33"/>
  <c r="J33"/>
  <c r="N33"/>
  <c r="R33"/>
  <c r="V33"/>
  <c r="Z33"/>
  <c r="D34"/>
  <c r="H34"/>
  <c r="L34"/>
  <c r="P34"/>
  <c r="T34"/>
  <c r="X34"/>
  <c r="F38"/>
  <c r="N38"/>
  <c r="V38"/>
  <c r="D39"/>
  <c r="L39"/>
  <c r="T39"/>
  <c r="J40"/>
  <c r="R40"/>
  <c r="Z40"/>
  <c r="F42"/>
  <c r="N42"/>
  <c r="V42"/>
  <c r="AB43"/>
  <c r="J44"/>
  <c r="R44"/>
  <c r="Z44"/>
  <c r="D47"/>
  <c r="L47"/>
  <c r="T47"/>
  <c r="J48"/>
  <c r="R48"/>
  <c r="Z48"/>
  <c r="H49"/>
  <c r="P49"/>
  <c r="X49"/>
  <c r="F50"/>
  <c r="N50"/>
  <c r="V50"/>
  <c r="AB51"/>
  <c r="J52"/>
  <c r="R52"/>
  <c r="Z52"/>
  <c r="F54"/>
  <c r="N54"/>
  <c r="V54"/>
  <c r="F58"/>
  <c r="N58"/>
  <c r="V58"/>
  <c r="J60"/>
  <c r="R60"/>
  <c r="Z60"/>
  <c r="H61"/>
  <c r="P61"/>
  <c r="X61"/>
  <c r="AB63"/>
  <c r="AB75"/>
  <c r="D76"/>
  <c r="H76"/>
  <c r="L76"/>
  <c r="P76"/>
  <c r="T76"/>
  <c r="X76"/>
  <c r="AA76"/>
  <c r="AH76"/>
  <c r="J77"/>
  <c r="R77"/>
  <c r="Z77"/>
  <c r="H78"/>
  <c r="P78"/>
  <c r="X78"/>
  <c r="F79"/>
  <c r="N79"/>
  <c r="V79"/>
  <c r="D80"/>
  <c r="L80"/>
  <c r="T80"/>
  <c r="J81"/>
  <c r="R81"/>
  <c r="Z81"/>
  <c r="H82"/>
  <c r="P82"/>
  <c r="X82"/>
  <c r="H83"/>
  <c r="P83"/>
  <c r="X83"/>
  <c r="F84"/>
  <c r="N84"/>
  <c r="V84"/>
  <c r="D85"/>
  <c r="L85"/>
  <c r="T85"/>
  <c r="AB85"/>
  <c r="J86"/>
  <c r="R86"/>
  <c r="Z86"/>
  <c r="H87"/>
  <c r="P87"/>
  <c r="L89"/>
  <c r="J90"/>
  <c r="Z90"/>
  <c r="H91"/>
  <c r="X91"/>
  <c r="F92"/>
  <c r="V92"/>
  <c r="D93"/>
  <c r="H93"/>
  <c r="L93"/>
  <c r="P93"/>
  <c r="T93"/>
  <c r="X93"/>
  <c r="AA93"/>
  <c r="AA115"/>
  <c r="F93"/>
  <c r="J93"/>
  <c r="N93"/>
  <c r="R93"/>
  <c r="V93"/>
  <c r="Z93"/>
  <c r="D115"/>
  <c r="H115"/>
  <c r="L115"/>
  <c r="P115"/>
  <c r="T115"/>
  <c r="X115"/>
  <c r="F115"/>
  <c r="J115"/>
  <c r="N115"/>
  <c r="R115"/>
  <c r="V115"/>
  <c r="Z115"/>
  <c r="AH115"/>
  <c r="V137"/>
  <c r="V138"/>
  <c r="D144"/>
  <c r="H144"/>
  <c r="L144"/>
  <c r="P144"/>
  <c r="Z144"/>
  <c r="AC137"/>
  <c r="AC138"/>
  <c r="AC116"/>
  <c r="X137"/>
  <c r="X138"/>
  <c r="F144"/>
  <c r="J144"/>
  <c r="N144"/>
  <c r="R144"/>
  <c r="AB119"/>
  <c r="AC140"/>
  <c r="AC142"/>
  <c r="S144"/>
  <c r="U144"/>
  <c r="W144"/>
  <c r="AA144"/>
  <c r="AH144"/>
  <c r="T137"/>
  <c r="T138"/>
  <c r="Y21" i="25"/>
  <c r="W21"/>
  <c r="S21"/>
  <c r="AB19" i="26"/>
  <c r="AF12"/>
  <c r="AB118"/>
  <c r="U126"/>
  <c r="U129"/>
  <c r="U145" s="1"/>
  <c r="V145" s="1"/>
  <c r="U27"/>
  <c r="N27"/>
  <c r="M35"/>
  <c r="N35" s="1"/>
  <c r="F27"/>
  <c r="E35"/>
  <c r="F35"/>
  <c r="W126"/>
  <c r="W129"/>
  <c r="W145" s="1"/>
  <c r="X145" s="1"/>
  <c r="W27"/>
  <c r="P27"/>
  <c r="O35"/>
  <c r="P35"/>
  <c r="H27"/>
  <c r="G35"/>
  <c r="H35"/>
  <c r="Y126"/>
  <c r="Z126"/>
  <c r="Y27"/>
  <c r="R27"/>
  <c r="AH27"/>
  <c r="Q35"/>
  <c r="J27"/>
  <c r="I35"/>
  <c r="J35"/>
  <c r="S126"/>
  <c r="S129"/>
  <c r="S145" s="1"/>
  <c r="T145" s="1"/>
  <c r="S27"/>
  <c r="L27"/>
  <c r="K35"/>
  <c r="L35"/>
  <c r="C126"/>
  <c r="D126"/>
  <c r="C27"/>
  <c r="W126" i="25"/>
  <c r="X126"/>
  <c r="W27"/>
  <c r="S126"/>
  <c r="T126"/>
  <c r="S27"/>
  <c r="U126"/>
  <c r="U129"/>
  <c r="U27"/>
  <c r="Y126"/>
  <c r="Z126"/>
  <c r="Y27"/>
  <c r="Y129" i="26"/>
  <c r="X126"/>
  <c r="V126"/>
  <c r="U21" i="25"/>
  <c r="Q126" i="26"/>
  <c r="AH17"/>
  <c r="AB29"/>
  <c r="O126"/>
  <c r="M126"/>
  <c r="K126"/>
  <c r="AB53"/>
  <c r="AB28"/>
  <c r="I126"/>
  <c r="AB78"/>
  <c r="AB61"/>
  <c r="G126"/>
  <c r="E126"/>
  <c r="C129"/>
  <c r="AB42"/>
  <c r="AA16"/>
  <c r="AC16"/>
  <c r="AB84"/>
  <c r="AB58"/>
  <c r="AB44"/>
  <c r="AB64"/>
  <c r="AB128"/>
  <c r="AB121"/>
  <c r="AB138"/>
  <c r="AB142"/>
  <c r="AB91"/>
  <c r="AB89"/>
  <c r="AB83"/>
  <c r="AB82"/>
  <c r="AB68"/>
  <c r="AB66"/>
  <c r="AB65"/>
  <c r="AB30"/>
  <c r="AB22"/>
  <c r="AB38"/>
  <c r="AB54"/>
  <c r="AB79"/>
  <c r="AC12"/>
  <c r="AB40"/>
  <c r="AB56"/>
  <c r="AB116"/>
  <c r="AB88"/>
  <c r="AB125"/>
  <c r="AB80"/>
  <c r="AB59"/>
  <c r="AB47"/>
  <c r="AB39"/>
  <c r="AB57"/>
  <c r="AB45"/>
  <c r="AB32"/>
  <c r="AB24"/>
  <c r="AB12"/>
  <c r="AB50"/>
  <c r="AB69"/>
  <c r="AB25"/>
  <c r="AB33"/>
  <c r="AB52"/>
  <c r="AB86"/>
  <c r="AB148"/>
  <c r="AB127"/>
  <c r="AB137"/>
  <c r="AB140"/>
  <c r="AB73"/>
  <c r="AB72"/>
  <c r="AB71"/>
  <c r="AB70"/>
  <c r="AB55"/>
  <c r="AB49"/>
  <c r="AB34"/>
  <c r="AB26"/>
  <c r="AB46"/>
  <c r="AB62"/>
  <c r="AB23"/>
  <c r="AB31"/>
  <c r="AB48"/>
  <c r="AB77"/>
  <c r="AB136"/>
  <c r="AB141"/>
  <c r="AB117"/>
  <c r="X144"/>
  <c r="V144"/>
  <c r="T144"/>
  <c r="AB60"/>
  <c r="AB67"/>
  <c r="AB81"/>
  <c r="AB90"/>
  <c r="AB92"/>
  <c r="AB133"/>
  <c r="AB139"/>
  <c r="AB143"/>
  <c r="AB122"/>
  <c r="AB120"/>
  <c r="AB41"/>
  <c r="Z16"/>
  <c r="V40"/>
  <c r="V16"/>
  <c r="AH16"/>
  <c r="R16"/>
  <c r="N16"/>
  <c r="J16"/>
  <c r="F16"/>
  <c r="AA17"/>
  <c r="AB144"/>
  <c r="AC144"/>
  <c r="AB115"/>
  <c r="AC115"/>
  <c r="AB93"/>
  <c r="AC93"/>
  <c r="AB76"/>
  <c r="AC76"/>
  <c r="X16"/>
  <c r="T16"/>
  <c r="P40"/>
  <c r="P16"/>
  <c r="L16"/>
  <c r="H16"/>
  <c r="D16"/>
  <c r="Q144" i="25"/>
  <c r="Q115"/>
  <c r="Q93"/>
  <c r="Q76"/>
  <c r="Q41"/>
  <c r="Q15"/>
  <c r="Q12"/>
  <c r="O144"/>
  <c r="O115"/>
  <c r="O93"/>
  <c r="O76"/>
  <c r="O41"/>
  <c r="O15"/>
  <c r="O12"/>
  <c r="M144"/>
  <c r="M115"/>
  <c r="M93"/>
  <c r="M76"/>
  <c r="M41"/>
  <c r="M15"/>
  <c r="M12"/>
  <c r="K144"/>
  <c r="K115"/>
  <c r="K93"/>
  <c r="K76"/>
  <c r="K41"/>
  <c r="K15"/>
  <c r="K12"/>
  <c r="I144"/>
  <c r="I115"/>
  <c r="I93"/>
  <c r="I76"/>
  <c r="I41"/>
  <c r="I15"/>
  <c r="I12"/>
  <c r="G144"/>
  <c r="G115"/>
  <c r="G93"/>
  <c r="G76"/>
  <c r="G41"/>
  <c r="G15"/>
  <c r="G12"/>
  <c r="E144"/>
  <c r="E115"/>
  <c r="E93"/>
  <c r="E76"/>
  <c r="E41"/>
  <c r="E15"/>
  <c r="E12"/>
  <c r="AH151"/>
  <c r="AC151"/>
  <c r="AH150"/>
  <c r="AA150"/>
  <c r="AC150"/>
  <c r="AH149"/>
  <c r="AC149"/>
  <c r="AH148"/>
  <c r="AA148"/>
  <c r="AC148"/>
  <c r="AH147"/>
  <c r="AC147"/>
  <c r="C144"/>
  <c r="AH143"/>
  <c r="AA143"/>
  <c r="AC143"/>
  <c r="AH142"/>
  <c r="AA142"/>
  <c r="AC142"/>
  <c r="AH141"/>
  <c r="AA141"/>
  <c r="AC141"/>
  <c r="AH140"/>
  <c r="AA140"/>
  <c r="AH139"/>
  <c r="AA139"/>
  <c r="AC139"/>
  <c r="AH138"/>
  <c r="AA138"/>
  <c r="AC138"/>
  <c r="AH137"/>
  <c r="AA137"/>
  <c r="AH136"/>
  <c r="AA136"/>
  <c r="AH134"/>
  <c r="AC134"/>
  <c r="AH133"/>
  <c r="AA133"/>
  <c r="AC133"/>
  <c r="AH132"/>
  <c r="AC132"/>
  <c r="AH130"/>
  <c r="AC130"/>
  <c r="AH128"/>
  <c r="AA128"/>
  <c r="AH127"/>
  <c r="AA127"/>
  <c r="AC127"/>
  <c r="AH125"/>
  <c r="AA125"/>
  <c r="AC125"/>
  <c r="AH124"/>
  <c r="AA124"/>
  <c r="AC124"/>
  <c r="AH123"/>
  <c r="AA123"/>
  <c r="AC123"/>
  <c r="AH122"/>
  <c r="AA122"/>
  <c r="AH121"/>
  <c r="AA121"/>
  <c r="AC121"/>
  <c r="AH120"/>
  <c r="AA120"/>
  <c r="AC120"/>
  <c r="AH119"/>
  <c r="AA119"/>
  <c r="AC119"/>
  <c r="AH117"/>
  <c r="AA117"/>
  <c r="AH116"/>
  <c r="AA116"/>
  <c r="C115"/>
  <c r="AH107"/>
  <c r="AH106"/>
  <c r="AH105"/>
  <c r="AH104"/>
  <c r="AH103"/>
  <c r="AH101"/>
  <c r="AH99"/>
  <c r="AH98"/>
  <c r="AH97"/>
  <c r="AH96"/>
  <c r="AH95"/>
  <c r="AH94"/>
  <c r="AH93"/>
  <c r="C93"/>
  <c r="AH92"/>
  <c r="AA92"/>
  <c r="AC92"/>
  <c r="AH91"/>
  <c r="AA91"/>
  <c r="AC91"/>
  <c r="AH90"/>
  <c r="AA90"/>
  <c r="AC90"/>
  <c r="AH89"/>
  <c r="AA89"/>
  <c r="AC89"/>
  <c r="AH88"/>
  <c r="AA88"/>
  <c r="AC88" s="1"/>
  <c r="AD88" s="1"/>
  <c r="AH87"/>
  <c r="AA87"/>
  <c r="AC87"/>
  <c r="AH86"/>
  <c r="AA86"/>
  <c r="AC86"/>
  <c r="AH85"/>
  <c r="AA85"/>
  <c r="AC85"/>
  <c r="AH84"/>
  <c r="AA84"/>
  <c r="AC84"/>
  <c r="AH83"/>
  <c r="AA83"/>
  <c r="AC83"/>
  <c r="AH82"/>
  <c r="AE82"/>
  <c r="AA82"/>
  <c r="AC82"/>
  <c r="AH81"/>
  <c r="AA81"/>
  <c r="AC81"/>
  <c r="AH80"/>
  <c r="AA80"/>
  <c r="AC80"/>
  <c r="AH79"/>
  <c r="AA79"/>
  <c r="AH78"/>
  <c r="AA78"/>
  <c r="AC78"/>
  <c r="AH77"/>
  <c r="AA77"/>
  <c r="AC77"/>
  <c r="C76"/>
  <c r="AA75"/>
  <c r="AA74"/>
  <c r="AA73"/>
  <c r="AC73"/>
  <c r="AA72"/>
  <c r="AC72"/>
  <c r="AA71"/>
  <c r="V70"/>
  <c r="AA70"/>
  <c r="AH69"/>
  <c r="AA69"/>
  <c r="AH68"/>
  <c r="AA68"/>
  <c r="AH67"/>
  <c r="AA67"/>
  <c r="AH66"/>
  <c r="AA66"/>
  <c r="AH65"/>
  <c r="AE65"/>
  <c r="AA65"/>
  <c r="AC65"/>
  <c r="AH64"/>
  <c r="AA64"/>
  <c r="AH63"/>
  <c r="AA63"/>
  <c r="AC63"/>
  <c r="AH62"/>
  <c r="AA62"/>
  <c r="AC62"/>
  <c r="AH61"/>
  <c r="AA61"/>
  <c r="AC61"/>
  <c r="AH60"/>
  <c r="AA60"/>
  <c r="AH59"/>
  <c r="AA59"/>
  <c r="AC59" s="1"/>
  <c r="AD59" s="1"/>
  <c r="AH58"/>
  <c r="AA58"/>
  <c r="AC58"/>
  <c r="H58"/>
  <c r="AH57"/>
  <c r="AA57"/>
  <c r="AC57"/>
  <c r="AH56"/>
  <c r="AA56"/>
  <c r="AH55"/>
  <c r="AA55"/>
  <c r="AC55"/>
  <c r="AH54"/>
  <c r="AA54"/>
  <c r="AC54"/>
  <c r="H54"/>
  <c r="V76"/>
  <c r="AA53"/>
  <c r="AH52"/>
  <c r="AA52"/>
  <c r="AC52"/>
  <c r="L52"/>
  <c r="AH51"/>
  <c r="AA51"/>
  <c r="AH50"/>
  <c r="AA50"/>
  <c r="AC50"/>
  <c r="H50"/>
  <c r="AH49"/>
  <c r="AA49"/>
  <c r="AC49"/>
  <c r="H49"/>
  <c r="AH48"/>
  <c r="AA48"/>
  <c r="AC48"/>
  <c r="L48"/>
  <c r="AH47"/>
  <c r="AA47"/>
  <c r="L47"/>
  <c r="AH46"/>
  <c r="AA46"/>
  <c r="AC46"/>
  <c r="AH45"/>
  <c r="AA45"/>
  <c r="AC45"/>
  <c r="AH44"/>
  <c r="AA44"/>
  <c r="AC44"/>
  <c r="AH43"/>
  <c r="L43"/>
  <c r="AH42"/>
  <c r="AC42"/>
  <c r="AH41"/>
  <c r="C41"/>
  <c r="AH40"/>
  <c r="AA40"/>
  <c r="L40"/>
  <c r="AH39"/>
  <c r="AA39"/>
  <c r="H39"/>
  <c r="AH38"/>
  <c r="AA38"/>
  <c r="AC38"/>
  <c r="H38"/>
  <c r="AH34"/>
  <c r="AA34"/>
  <c r="AC34"/>
  <c r="AH33"/>
  <c r="AA33"/>
  <c r="AC33"/>
  <c r="H33"/>
  <c r="AH32"/>
  <c r="AA32"/>
  <c r="R32"/>
  <c r="AH31"/>
  <c r="AA31"/>
  <c r="AC31"/>
  <c r="V31"/>
  <c r="H31"/>
  <c r="AH30"/>
  <c r="AA30"/>
  <c r="AC30"/>
  <c r="V30"/>
  <c r="R30"/>
  <c r="H30"/>
  <c r="AH29"/>
  <c r="AA29"/>
  <c r="AC29"/>
  <c r="L29"/>
  <c r="H29"/>
  <c r="AH28"/>
  <c r="AA28"/>
  <c r="AC28"/>
  <c r="V28"/>
  <c r="L28"/>
  <c r="AH26"/>
  <c r="AA26"/>
  <c r="AC26"/>
  <c r="AH25"/>
  <c r="AA25"/>
  <c r="AC25" s="1"/>
  <c r="AD25" s="1"/>
  <c r="AH24"/>
  <c r="AA24"/>
  <c r="AC24"/>
  <c r="Z24"/>
  <c r="H24"/>
  <c r="AH23"/>
  <c r="AA23"/>
  <c r="AC23"/>
  <c r="R23"/>
  <c r="L23"/>
  <c r="H23"/>
  <c r="AH22"/>
  <c r="AA22"/>
  <c r="AC22"/>
  <c r="V22"/>
  <c r="T22"/>
  <c r="AH20"/>
  <c r="AA20"/>
  <c r="AC20"/>
  <c r="AH19"/>
  <c r="AA19"/>
  <c r="V19"/>
  <c r="L19"/>
  <c r="H19"/>
  <c r="AH18"/>
  <c r="AA18"/>
  <c r="AC18"/>
  <c r="AH15"/>
  <c r="C15"/>
  <c r="AH14"/>
  <c r="AA14"/>
  <c r="AC14"/>
  <c r="AH13"/>
  <c r="AA13"/>
  <c r="Z32"/>
  <c r="V12"/>
  <c r="T12"/>
  <c r="R12"/>
  <c r="R24"/>
  <c r="N34"/>
  <c r="L12"/>
  <c r="J30"/>
  <c r="H12"/>
  <c r="C12"/>
  <c r="AH11"/>
  <c r="AA11"/>
  <c r="AC11"/>
  <c r="AH10"/>
  <c r="AA10"/>
  <c r="AC10"/>
  <c r="AH9"/>
  <c r="AA9"/>
  <c r="AC9"/>
  <c r="AH8"/>
  <c r="AA8"/>
  <c r="AC8"/>
  <c r="AH7"/>
  <c r="AA7"/>
  <c r="AC7"/>
  <c r="AH6"/>
  <c r="AA6"/>
  <c r="AC6"/>
  <c r="AH5"/>
  <c r="T29"/>
  <c r="M42" i="20"/>
  <c r="M41"/>
  <c r="M37"/>
  <c r="K42"/>
  <c r="K41"/>
  <c r="K40"/>
  <c r="K39"/>
  <c r="K38"/>
  <c r="K37"/>
  <c r="I42"/>
  <c r="I41"/>
  <c r="I40"/>
  <c r="I39"/>
  <c r="I38"/>
  <c r="I37"/>
  <c r="G42"/>
  <c r="G41"/>
  <c r="G40"/>
  <c r="G39"/>
  <c r="G38"/>
  <c r="G37"/>
  <c r="E42"/>
  <c r="E41"/>
  <c r="E39"/>
  <c r="E38"/>
  <c r="M33"/>
  <c r="M32"/>
  <c r="K33"/>
  <c r="K32"/>
  <c r="K30"/>
  <c r="K29"/>
  <c r="I33"/>
  <c r="I32"/>
  <c r="I30"/>
  <c r="I29"/>
  <c r="G33"/>
  <c r="G32"/>
  <c r="G30"/>
  <c r="G29"/>
  <c r="E33"/>
  <c r="E32"/>
  <c r="E30"/>
  <c r="E29"/>
  <c r="M23"/>
  <c r="K23"/>
  <c r="I23"/>
  <c r="G23"/>
  <c r="E23"/>
  <c r="C23"/>
  <c r="Y14"/>
  <c r="W14"/>
  <c r="U14"/>
  <c r="S14"/>
  <c r="Q14"/>
  <c r="M14"/>
  <c r="K14"/>
  <c r="I14"/>
  <c r="G14"/>
  <c r="E14"/>
  <c r="C14"/>
  <c r="T126" i="26"/>
  <c r="AD140"/>
  <c r="AD118"/>
  <c r="W129" i="25"/>
  <c r="V126"/>
  <c r="F128"/>
  <c r="F72"/>
  <c r="F127"/>
  <c r="F68"/>
  <c r="N128"/>
  <c r="N72"/>
  <c r="N127"/>
  <c r="N68"/>
  <c r="H128"/>
  <c r="H72"/>
  <c r="H127"/>
  <c r="H68"/>
  <c r="P128"/>
  <c r="P72"/>
  <c r="P127"/>
  <c r="P68"/>
  <c r="J127"/>
  <c r="J68"/>
  <c r="J128"/>
  <c r="J72"/>
  <c r="R127"/>
  <c r="R68"/>
  <c r="R128"/>
  <c r="R72"/>
  <c r="L128"/>
  <c r="L72"/>
  <c r="L127"/>
  <c r="L68"/>
  <c r="D128"/>
  <c r="D127"/>
  <c r="D72"/>
  <c r="D68"/>
  <c r="D27" i="26"/>
  <c r="C35"/>
  <c r="D35" s="1"/>
  <c r="AA27"/>
  <c r="T27"/>
  <c r="S35"/>
  <c r="T35" s="1"/>
  <c r="AH35"/>
  <c r="R35"/>
  <c r="Z27"/>
  <c r="Y35"/>
  <c r="Z35" s="1"/>
  <c r="V27"/>
  <c r="U35"/>
  <c r="V35" s="1"/>
  <c r="X27"/>
  <c r="W35"/>
  <c r="X35"/>
  <c r="D26" i="25"/>
  <c r="F26"/>
  <c r="H26"/>
  <c r="J26"/>
  <c r="L44"/>
  <c r="L26"/>
  <c r="N26"/>
  <c r="P26"/>
  <c r="R26"/>
  <c r="V27"/>
  <c r="U35"/>
  <c r="U36" s="1"/>
  <c r="S129"/>
  <c r="T53"/>
  <c r="Y129"/>
  <c r="Y145" s="1"/>
  <c r="Z145" s="1"/>
  <c r="X27"/>
  <c r="W35"/>
  <c r="W36" s="1"/>
  <c r="Z27"/>
  <c r="Y35"/>
  <c r="Y36"/>
  <c r="Y37" s="1"/>
  <c r="T27"/>
  <c r="S35"/>
  <c r="S36"/>
  <c r="S37" s="1"/>
  <c r="Z53" i="26"/>
  <c r="Z129"/>
  <c r="Y145"/>
  <c r="Z145" s="1"/>
  <c r="X53"/>
  <c r="X129"/>
  <c r="V53"/>
  <c r="V129"/>
  <c r="T53"/>
  <c r="T129"/>
  <c r="AA126"/>
  <c r="AC126"/>
  <c r="AD126"/>
  <c r="R57" i="25"/>
  <c r="R46"/>
  <c r="R62"/>
  <c r="R51"/>
  <c r="R65"/>
  <c r="R56"/>
  <c r="R45"/>
  <c r="R75"/>
  <c r="R122"/>
  <c r="R125"/>
  <c r="R119"/>
  <c r="R120"/>
  <c r="R121"/>
  <c r="X53"/>
  <c r="W145"/>
  <c r="V53"/>
  <c r="U145"/>
  <c r="S145"/>
  <c r="O16"/>
  <c r="P65"/>
  <c r="P46"/>
  <c r="P62"/>
  <c r="P56"/>
  <c r="P51"/>
  <c r="P45"/>
  <c r="P75"/>
  <c r="P57"/>
  <c r="P125"/>
  <c r="P121"/>
  <c r="P119"/>
  <c r="P122"/>
  <c r="P120"/>
  <c r="L33"/>
  <c r="L50"/>
  <c r="L22"/>
  <c r="L31"/>
  <c r="L32"/>
  <c r="L39"/>
  <c r="L76"/>
  <c r="N62"/>
  <c r="N51"/>
  <c r="N46"/>
  <c r="N56"/>
  <c r="N45"/>
  <c r="N65"/>
  <c r="N57"/>
  <c r="N119"/>
  <c r="N122"/>
  <c r="N121"/>
  <c r="N75"/>
  <c r="N120"/>
  <c r="N125"/>
  <c r="L57"/>
  <c r="L62"/>
  <c r="L46"/>
  <c r="L75"/>
  <c r="L65"/>
  <c r="L56"/>
  <c r="L51"/>
  <c r="L45"/>
  <c r="L125"/>
  <c r="L121"/>
  <c r="L120"/>
  <c r="L122"/>
  <c r="L119"/>
  <c r="J65"/>
  <c r="J56"/>
  <c r="J45"/>
  <c r="J57"/>
  <c r="J46"/>
  <c r="J62"/>
  <c r="J51"/>
  <c r="J121"/>
  <c r="J122"/>
  <c r="J75"/>
  <c r="J125"/>
  <c r="J119"/>
  <c r="J120"/>
  <c r="I16"/>
  <c r="I27"/>
  <c r="H57"/>
  <c r="H65"/>
  <c r="H46"/>
  <c r="H75"/>
  <c r="H62"/>
  <c r="H56"/>
  <c r="H51"/>
  <c r="H45"/>
  <c r="H122"/>
  <c r="H120"/>
  <c r="H125"/>
  <c r="H121"/>
  <c r="H119"/>
  <c r="E16"/>
  <c r="E27"/>
  <c r="F56"/>
  <c r="F45"/>
  <c r="F57"/>
  <c r="F65"/>
  <c r="F62"/>
  <c r="F51"/>
  <c r="F46"/>
  <c r="F120"/>
  <c r="F119"/>
  <c r="F125"/>
  <c r="F75"/>
  <c r="F122"/>
  <c r="F121"/>
  <c r="R126" i="26"/>
  <c r="Q129"/>
  <c r="AH126"/>
  <c r="AB16"/>
  <c r="P21"/>
  <c r="P126"/>
  <c r="O129"/>
  <c r="N126"/>
  <c r="M129"/>
  <c r="L21"/>
  <c r="L126"/>
  <c r="K129"/>
  <c r="AD38"/>
  <c r="J126"/>
  <c r="I129"/>
  <c r="H21"/>
  <c r="H126"/>
  <c r="G129"/>
  <c r="F126"/>
  <c r="E129"/>
  <c r="AB126"/>
  <c r="AD79"/>
  <c r="D21"/>
  <c r="D53"/>
  <c r="C145"/>
  <c r="D145" s="1"/>
  <c r="D129"/>
  <c r="D48" i="25"/>
  <c r="D65"/>
  <c r="D56"/>
  <c r="D57"/>
  <c r="D46"/>
  <c r="D75"/>
  <c r="D62"/>
  <c r="D51"/>
  <c r="D45"/>
  <c r="D125"/>
  <c r="D121"/>
  <c r="D120"/>
  <c r="D119"/>
  <c r="D122"/>
  <c r="AD72" i="26"/>
  <c r="AD52"/>
  <c r="AD54"/>
  <c r="AD34"/>
  <c r="AD80"/>
  <c r="AD26"/>
  <c r="AD58"/>
  <c r="AD12"/>
  <c r="AD89"/>
  <c r="AD28"/>
  <c r="AD40"/>
  <c r="AD81"/>
  <c r="AD16"/>
  <c r="AD76"/>
  <c r="AD115"/>
  <c r="AD41"/>
  <c r="AD29"/>
  <c r="AD42"/>
  <c r="AD60"/>
  <c r="AD92"/>
  <c r="AD56"/>
  <c r="AD84"/>
  <c r="AD138"/>
  <c r="AD19"/>
  <c r="AD47"/>
  <c r="AD46"/>
  <c r="AD64"/>
  <c r="AD45"/>
  <c r="AD53"/>
  <c r="AD65"/>
  <c r="AD66"/>
  <c r="AD78"/>
  <c r="AD121"/>
  <c r="AD125"/>
  <c r="AD133"/>
  <c r="AD148"/>
  <c r="AD70"/>
  <c r="AD91"/>
  <c r="AD136"/>
  <c r="AD62"/>
  <c r="AD85"/>
  <c r="AD87"/>
  <c r="AD57"/>
  <c r="AD120"/>
  <c r="AD139"/>
  <c r="AD143"/>
  <c r="AD128"/>
  <c r="AD90"/>
  <c r="AD122"/>
  <c r="AD55"/>
  <c r="AD77"/>
  <c r="AD49"/>
  <c r="AD61"/>
  <c r="AD82"/>
  <c r="AD83"/>
  <c r="AD119"/>
  <c r="AD127"/>
  <c r="AD48"/>
  <c r="AD68"/>
  <c r="AD141"/>
  <c r="AD24"/>
  <c r="AD32"/>
  <c r="AD50"/>
  <c r="AD73"/>
  <c r="AD93"/>
  <c r="AD144"/>
  <c r="AD33"/>
  <c r="AD51"/>
  <c r="AD75"/>
  <c r="AD69"/>
  <c r="AD39"/>
  <c r="AD116"/>
  <c r="AD142"/>
  <c r="AD22"/>
  <c r="AD30"/>
  <c r="AD43"/>
  <c r="AD67"/>
  <c r="AD23"/>
  <c r="AD31"/>
  <c r="AD44"/>
  <c r="AD71"/>
  <c r="AD63"/>
  <c r="AD86"/>
  <c r="AD137"/>
  <c r="AH144" i="25"/>
  <c r="AB17" i="26"/>
  <c r="AA21"/>
  <c r="AC17"/>
  <c r="AD17" s="1"/>
  <c r="T21"/>
  <c r="X21"/>
  <c r="AI138" i="25"/>
  <c r="Q16"/>
  <c r="Q21"/>
  <c r="H76"/>
  <c r="K16"/>
  <c r="K27"/>
  <c r="M16"/>
  <c r="M27"/>
  <c r="G16"/>
  <c r="G27"/>
  <c r="H44"/>
  <c r="H48"/>
  <c r="H52"/>
  <c r="AA15"/>
  <c r="H34"/>
  <c r="H42"/>
  <c r="AC13"/>
  <c r="AA41"/>
  <c r="AA144"/>
  <c r="AC144"/>
  <c r="D52"/>
  <c r="D12"/>
  <c r="C16"/>
  <c r="C27"/>
  <c r="D23"/>
  <c r="D29"/>
  <c r="D31"/>
  <c r="D50"/>
  <c r="D28"/>
  <c r="D33"/>
  <c r="D40"/>
  <c r="D43"/>
  <c r="D44"/>
  <c r="D76"/>
  <c r="D19"/>
  <c r="D22"/>
  <c r="D32"/>
  <c r="D39"/>
  <c r="D47"/>
  <c r="D16"/>
  <c r="L16"/>
  <c r="F144"/>
  <c r="F142"/>
  <c r="F143"/>
  <c r="F139"/>
  <c r="F136"/>
  <c r="F116"/>
  <c r="F140"/>
  <c r="F137"/>
  <c r="F148"/>
  <c r="F141"/>
  <c r="F138"/>
  <c r="F92"/>
  <c r="F93"/>
  <c r="F91"/>
  <c r="F89"/>
  <c r="F84"/>
  <c r="F81"/>
  <c r="F77"/>
  <c r="F58"/>
  <c r="F54"/>
  <c r="F49"/>
  <c r="F42"/>
  <c r="F38"/>
  <c r="F82"/>
  <c r="F78"/>
  <c r="F71"/>
  <c r="F66"/>
  <c r="F63"/>
  <c r="F50"/>
  <c r="F39"/>
  <c r="F86"/>
  <c r="F79"/>
  <c r="F69"/>
  <c r="F64"/>
  <c r="F60"/>
  <c r="F47"/>
  <c r="F40"/>
  <c r="F32"/>
  <c r="F90"/>
  <c r="F87"/>
  <c r="F85"/>
  <c r="F83"/>
  <c r="F80"/>
  <c r="F73"/>
  <c r="F70"/>
  <c r="F61"/>
  <c r="F52"/>
  <c r="F48"/>
  <c r="F44"/>
  <c r="F33"/>
  <c r="F29"/>
  <c r="F23"/>
  <c r="AC32"/>
  <c r="V144"/>
  <c r="V142"/>
  <c r="V143"/>
  <c r="V139"/>
  <c r="V136"/>
  <c r="V116"/>
  <c r="V140"/>
  <c r="V137"/>
  <c r="V148"/>
  <c r="V141"/>
  <c r="V138"/>
  <c r="V92"/>
  <c r="V93"/>
  <c r="V86"/>
  <c r="V84"/>
  <c r="V81"/>
  <c r="V77"/>
  <c r="V58"/>
  <c r="V54"/>
  <c r="V49"/>
  <c r="V42"/>
  <c r="V90"/>
  <c r="V87"/>
  <c r="V85"/>
  <c r="V82"/>
  <c r="V78"/>
  <c r="V66"/>
  <c r="V63"/>
  <c r="V50"/>
  <c r="V41"/>
  <c r="V39"/>
  <c r="V91"/>
  <c r="V89"/>
  <c r="V79"/>
  <c r="V69"/>
  <c r="V64"/>
  <c r="V60"/>
  <c r="V47"/>
  <c r="V43"/>
  <c r="V32"/>
  <c r="V83"/>
  <c r="V80"/>
  <c r="V73"/>
  <c r="V61"/>
  <c r="V52"/>
  <c r="V48"/>
  <c r="V44"/>
  <c r="V33"/>
  <c r="V29"/>
  <c r="V23"/>
  <c r="V38"/>
  <c r="AC75"/>
  <c r="N19"/>
  <c r="AA5"/>
  <c r="AB11"/>
  <c r="AC19"/>
  <c r="J28"/>
  <c r="T28"/>
  <c r="R29"/>
  <c r="F30"/>
  <c r="Z30"/>
  <c r="T31"/>
  <c r="R33"/>
  <c r="Z76"/>
  <c r="T70"/>
  <c r="Z12"/>
  <c r="H16"/>
  <c r="T19"/>
  <c r="N22"/>
  <c r="Z22"/>
  <c r="J24"/>
  <c r="V24"/>
  <c r="F28"/>
  <c r="R28"/>
  <c r="Z29"/>
  <c r="N30"/>
  <c r="F31"/>
  <c r="J32"/>
  <c r="F34"/>
  <c r="V34"/>
  <c r="X41"/>
  <c r="X76"/>
  <c r="T66"/>
  <c r="R70"/>
  <c r="Z70"/>
  <c r="V71"/>
  <c r="J76"/>
  <c r="V115"/>
  <c r="Z144"/>
  <c r="Z140"/>
  <c r="Z137"/>
  <c r="Z148"/>
  <c r="Z141"/>
  <c r="Z138"/>
  <c r="Z142"/>
  <c r="Z143"/>
  <c r="Z139"/>
  <c r="Z136"/>
  <c r="Z116"/>
  <c r="Z90"/>
  <c r="Z86"/>
  <c r="Z93"/>
  <c r="Z92"/>
  <c r="Z89"/>
  <c r="Z79"/>
  <c r="Z69"/>
  <c r="Z64"/>
  <c r="Z60"/>
  <c r="Z47"/>
  <c r="Z43"/>
  <c r="Z40"/>
  <c r="Z83"/>
  <c r="Z80"/>
  <c r="Z73"/>
  <c r="Z66"/>
  <c r="Z61"/>
  <c r="Z52"/>
  <c r="Z48"/>
  <c r="Z44"/>
  <c r="Z41"/>
  <c r="Z87"/>
  <c r="Z84"/>
  <c r="Z81"/>
  <c r="Z77"/>
  <c r="Z58"/>
  <c r="Z54"/>
  <c r="Z49"/>
  <c r="Z42"/>
  <c r="Z38"/>
  <c r="Z34"/>
  <c r="Z91"/>
  <c r="Z88"/>
  <c r="Z85"/>
  <c r="Z82"/>
  <c r="Z78"/>
  <c r="Z63"/>
  <c r="Z50"/>
  <c r="Z39"/>
  <c r="Z31"/>
  <c r="Z19"/>
  <c r="AC70"/>
  <c r="F12"/>
  <c r="J12"/>
  <c r="N12"/>
  <c r="F19"/>
  <c r="J23"/>
  <c r="T23"/>
  <c r="N28"/>
  <c r="Z28"/>
  <c r="N31"/>
  <c r="T32"/>
  <c r="Z33"/>
  <c r="F41"/>
  <c r="F76"/>
  <c r="X70"/>
  <c r="T71"/>
  <c r="J144"/>
  <c r="J140"/>
  <c r="J137"/>
  <c r="J148"/>
  <c r="J141"/>
  <c r="J138"/>
  <c r="J142"/>
  <c r="J143"/>
  <c r="J139"/>
  <c r="J136"/>
  <c r="J116"/>
  <c r="J90"/>
  <c r="J86"/>
  <c r="J93"/>
  <c r="J87"/>
  <c r="J79"/>
  <c r="J69"/>
  <c r="J64"/>
  <c r="J60"/>
  <c r="J47"/>
  <c r="J43"/>
  <c r="J91"/>
  <c r="J85"/>
  <c r="J83"/>
  <c r="J80"/>
  <c r="J73"/>
  <c r="J70"/>
  <c r="J61"/>
  <c r="J52"/>
  <c r="J48"/>
  <c r="J44"/>
  <c r="J41"/>
  <c r="J92"/>
  <c r="J89"/>
  <c r="J84"/>
  <c r="J81"/>
  <c r="J77"/>
  <c r="J58"/>
  <c r="J54"/>
  <c r="J49"/>
  <c r="J42"/>
  <c r="J38"/>
  <c r="J34"/>
  <c r="J82"/>
  <c r="J78"/>
  <c r="J71"/>
  <c r="J66"/>
  <c r="J63"/>
  <c r="J50"/>
  <c r="J39"/>
  <c r="J31"/>
  <c r="J19"/>
  <c r="J40"/>
  <c r="AC53"/>
  <c r="AC66"/>
  <c r="AC68"/>
  <c r="J22"/>
  <c r="F24"/>
  <c r="J29"/>
  <c r="J33"/>
  <c r="T41"/>
  <c r="T76"/>
  <c r="X66"/>
  <c r="R71"/>
  <c r="Z71"/>
  <c r="Z115"/>
  <c r="N144"/>
  <c r="N142"/>
  <c r="N143"/>
  <c r="N139"/>
  <c r="N136"/>
  <c r="N116"/>
  <c r="N140"/>
  <c r="N137"/>
  <c r="N148"/>
  <c r="N141"/>
  <c r="N138"/>
  <c r="N92"/>
  <c r="N93"/>
  <c r="N84"/>
  <c r="N81"/>
  <c r="N77"/>
  <c r="N58"/>
  <c r="N54"/>
  <c r="N49"/>
  <c r="N42"/>
  <c r="N38"/>
  <c r="N86"/>
  <c r="N82"/>
  <c r="N78"/>
  <c r="N76"/>
  <c r="N71"/>
  <c r="N66"/>
  <c r="N63"/>
  <c r="N50"/>
  <c r="N39"/>
  <c r="N90"/>
  <c r="N87"/>
  <c r="N85"/>
  <c r="N79"/>
  <c r="N69"/>
  <c r="N64"/>
  <c r="N60"/>
  <c r="N47"/>
  <c r="N43"/>
  <c r="N40"/>
  <c r="N32"/>
  <c r="N91"/>
  <c r="N89"/>
  <c r="N83"/>
  <c r="N80"/>
  <c r="N73"/>
  <c r="N70"/>
  <c r="N67"/>
  <c r="N61"/>
  <c r="N52"/>
  <c r="N48"/>
  <c r="N44"/>
  <c r="N33"/>
  <c r="N29"/>
  <c r="N23"/>
  <c r="T143"/>
  <c r="T139"/>
  <c r="T136"/>
  <c r="T116"/>
  <c r="T140"/>
  <c r="T137"/>
  <c r="T148"/>
  <c r="T141"/>
  <c r="T138"/>
  <c r="T142"/>
  <c r="T89"/>
  <c r="T85"/>
  <c r="T90"/>
  <c r="T87"/>
  <c r="T82"/>
  <c r="T78"/>
  <c r="T63"/>
  <c r="T50"/>
  <c r="T39"/>
  <c r="T91"/>
  <c r="T79"/>
  <c r="T69"/>
  <c r="T64"/>
  <c r="T60"/>
  <c r="T47"/>
  <c r="T43"/>
  <c r="T40"/>
  <c r="T93"/>
  <c r="T92"/>
  <c r="T83"/>
  <c r="T80"/>
  <c r="T73"/>
  <c r="T61"/>
  <c r="T52"/>
  <c r="T48"/>
  <c r="T44"/>
  <c r="T33"/>
  <c r="T86"/>
  <c r="T84"/>
  <c r="T81"/>
  <c r="T77"/>
  <c r="T58"/>
  <c r="T54"/>
  <c r="T49"/>
  <c r="T42"/>
  <c r="T38"/>
  <c r="T34"/>
  <c r="T30"/>
  <c r="T24"/>
  <c r="R144"/>
  <c r="R140"/>
  <c r="R137"/>
  <c r="R148"/>
  <c r="R141"/>
  <c r="R138"/>
  <c r="R142"/>
  <c r="R143"/>
  <c r="R139"/>
  <c r="R136"/>
  <c r="R116"/>
  <c r="R90"/>
  <c r="R86"/>
  <c r="R93"/>
  <c r="R91"/>
  <c r="R85"/>
  <c r="R79"/>
  <c r="R69"/>
  <c r="R64"/>
  <c r="R60"/>
  <c r="R47"/>
  <c r="R43"/>
  <c r="R40"/>
  <c r="R92"/>
  <c r="R89"/>
  <c r="R83"/>
  <c r="R80"/>
  <c r="R73"/>
  <c r="R66"/>
  <c r="R61"/>
  <c r="R52"/>
  <c r="R48"/>
  <c r="R44"/>
  <c r="R41"/>
  <c r="R84"/>
  <c r="R81"/>
  <c r="R77"/>
  <c r="R58"/>
  <c r="R54"/>
  <c r="R49"/>
  <c r="R42"/>
  <c r="R38"/>
  <c r="R34"/>
  <c r="R87"/>
  <c r="R82"/>
  <c r="R78"/>
  <c r="R63"/>
  <c r="R50"/>
  <c r="R39"/>
  <c r="R31"/>
  <c r="R19"/>
  <c r="AH12"/>
  <c r="R76"/>
  <c r="AH76"/>
  <c r="AC71"/>
  <c r="F22"/>
  <c r="R22"/>
  <c r="Z23"/>
  <c r="N24"/>
  <c r="D143"/>
  <c r="D139"/>
  <c r="D136"/>
  <c r="D116"/>
  <c r="D115"/>
  <c r="D140"/>
  <c r="D137"/>
  <c r="D148"/>
  <c r="D141"/>
  <c r="D138"/>
  <c r="D142"/>
  <c r="D89"/>
  <c r="D85"/>
  <c r="H148"/>
  <c r="H141"/>
  <c r="H138"/>
  <c r="H115"/>
  <c r="H142"/>
  <c r="H143"/>
  <c r="H139"/>
  <c r="H136"/>
  <c r="H116"/>
  <c r="H140"/>
  <c r="H137"/>
  <c r="H91"/>
  <c r="H87"/>
  <c r="L143"/>
  <c r="L139"/>
  <c r="L136"/>
  <c r="L116"/>
  <c r="L115"/>
  <c r="L140"/>
  <c r="L137"/>
  <c r="L148"/>
  <c r="L141"/>
  <c r="L138"/>
  <c r="L142"/>
  <c r="L89"/>
  <c r="L85"/>
  <c r="H22"/>
  <c r="D24"/>
  <c r="L24"/>
  <c r="H28"/>
  <c r="D30"/>
  <c r="L30"/>
  <c r="H32"/>
  <c r="D34"/>
  <c r="L34"/>
  <c r="D38"/>
  <c r="L38"/>
  <c r="H40"/>
  <c r="AC40"/>
  <c r="D41"/>
  <c r="H41"/>
  <c r="L41"/>
  <c r="D42"/>
  <c r="L42"/>
  <c r="H43"/>
  <c r="H47"/>
  <c r="AC47"/>
  <c r="D49"/>
  <c r="L49"/>
  <c r="AC51"/>
  <c r="D54"/>
  <c r="L54"/>
  <c r="AC56"/>
  <c r="D58"/>
  <c r="L58"/>
  <c r="H60"/>
  <c r="AC60"/>
  <c r="H64"/>
  <c r="AC64"/>
  <c r="P66"/>
  <c r="AC67"/>
  <c r="H69"/>
  <c r="AC69"/>
  <c r="P71"/>
  <c r="D77"/>
  <c r="L77"/>
  <c r="AA93"/>
  <c r="AB93" s="1"/>
  <c r="H79"/>
  <c r="AC79"/>
  <c r="D81"/>
  <c r="L81"/>
  <c r="D84"/>
  <c r="L84"/>
  <c r="H86"/>
  <c r="D91"/>
  <c r="L92"/>
  <c r="F115"/>
  <c r="N115"/>
  <c r="AH102"/>
  <c r="AC39"/>
  <c r="F43"/>
  <c r="AH53"/>
  <c r="D61"/>
  <c r="L61"/>
  <c r="H63"/>
  <c r="H66"/>
  <c r="D70"/>
  <c r="L70"/>
  <c r="H71"/>
  <c r="D73"/>
  <c r="L73"/>
  <c r="D74"/>
  <c r="H78"/>
  <c r="D80"/>
  <c r="L80"/>
  <c r="H82"/>
  <c r="D83"/>
  <c r="L83"/>
  <c r="D87"/>
  <c r="D90"/>
  <c r="L91"/>
  <c r="D93"/>
  <c r="H93"/>
  <c r="L93"/>
  <c r="T115"/>
  <c r="H144"/>
  <c r="P144"/>
  <c r="X144"/>
  <c r="N41"/>
  <c r="AA43"/>
  <c r="D60"/>
  <c r="L60"/>
  <c r="D64"/>
  <c r="L64"/>
  <c r="D69"/>
  <c r="L69"/>
  <c r="P70"/>
  <c r="H77"/>
  <c r="D79"/>
  <c r="L79"/>
  <c r="H81"/>
  <c r="H84"/>
  <c r="D86"/>
  <c r="L87"/>
  <c r="H89"/>
  <c r="L90"/>
  <c r="H92"/>
  <c r="X115"/>
  <c r="J115"/>
  <c r="H61"/>
  <c r="D63"/>
  <c r="L63"/>
  <c r="D66"/>
  <c r="L66"/>
  <c r="H70"/>
  <c r="D71"/>
  <c r="L71"/>
  <c r="H73"/>
  <c r="D78"/>
  <c r="L78"/>
  <c r="H80"/>
  <c r="D82"/>
  <c r="L82"/>
  <c r="H83"/>
  <c r="H85"/>
  <c r="L86"/>
  <c r="H90"/>
  <c r="D92"/>
  <c r="D144"/>
  <c r="L144"/>
  <c r="T144"/>
  <c r="AC117"/>
  <c r="AC122"/>
  <c r="AC128"/>
  <c r="AC137"/>
  <c r="AC140"/>
  <c r="AC116"/>
  <c r="AC136"/>
  <c r="AA129" i="26"/>
  <c r="AA145" s="1"/>
  <c r="AC27"/>
  <c r="AD27"/>
  <c r="AA35"/>
  <c r="AB27"/>
  <c r="Q126" i="25"/>
  <c r="R126"/>
  <c r="Q27"/>
  <c r="F27"/>
  <c r="E35"/>
  <c r="F35" s="1"/>
  <c r="D27"/>
  <c r="C35"/>
  <c r="D35"/>
  <c r="J27"/>
  <c r="I35"/>
  <c r="J35"/>
  <c r="O126"/>
  <c r="O129"/>
  <c r="O27"/>
  <c r="L27"/>
  <c r="K35"/>
  <c r="L35" s="1"/>
  <c r="H27"/>
  <c r="G35"/>
  <c r="H35"/>
  <c r="N27"/>
  <c r="M35"/>
  <c r="N35"/>
  <c r="Z53"/>
  <c r="P126"/>
  <c r="O21"/>
  <c r="M21"/>
  <c r="M126"/>
  <c r="K126"/>
  <c r="K21"/>
  <c r="I21"/>
  <c r="I126"/>
  <c r="G126"/>
  <c r="G21"/>
  <c r="E126"/>
  <c r="E21"/>
  <c r="AH129" i="26"/>
  <c r="R53"/>
  <c r="R129"/>
  <c r="Q145"/>
  <c r="P53"/>
  <c r="O145"/>
  <c r="P145" s="1"/>
  <c r="P129"/>
  <c r="N53"/>
  <c r="M145"/>
  <c r="N145" s="1"/>
  <c r="N129"/>
  <c r="L53"/>
  <c r="K145"/>
  <c r="L145" s="1"/>
  <c r="L129"/>
  <c r="J53"/>
  <c r="I145"/>
  <c r="J145" s="1"/>
  <c r="J129"/>
  <c r="H53"/>
  <c r="G145"/>
  <c r="H145" s="1"/>
  <c r="H129"/>
  <c r="F53"/>
  <c r="E145"/>
  <c r="F145" s="1"/>
  <c r="F129"/>
  <c r="AC129"/>
  <c r="AD129"/>
  <c r="C126" i="25"/>
  <c r="C21"/>
  <c r="AB21" i="26"/>
  <c r="AC21"/>
  <c r="AD21" s="1"/>
  <c r="AC15" i="25"/>
  <c r="AC41"/>
  <c r="AB8"/>
  <c r="R115"/>
  <c r="AH115"/>
  <c r="N16"/>
  <c r="X148"/>
  <c r="X141"/>
  <c r="X138"/>
  <c r="X142"/>
  <c r="X143"/>
  <c r="X139"/>
  <c r="X136"/>
  <c r="X116"/>
  <c r="X140"/>
  <c r="X137"/>
  <c r="X91"/>
  <c r="X87"/>
  <c r="X83"/>
  <c r="X80"/>
  <c r="X73"/>
  <c r="X61"/>
  <c r="X52"/>
  <c r="X48"/>
  <c r="X44"/>
  <c r="X86"/>
  <c r="X84"/>
  <c r="X81"/>
  <c r="X77"/>
  <c r="X58"/>
  <c r="X54"/>
  <c r="X49"/>
  <c r="X42"/>
  <c r="X38"/>
  <c r="X93"/>
  <c r="X90"/>
  <c r="X85"/>
  <c r="X82"/>
  <c r="X78"/>
  <c r="X63"/>
  <c r="X50"/>
  <c r="X39"/>
  <c r="X92"/>
  <c r="X89"/>
  <c r="X79"/>
  <c r="X69"/>
  <c r="X64"/>
  <c r="X60"/>
  <c r="X47"/>
  <c r="X43"/>
  <c r="X40"/>
  <c r="X32"/>
  <c r="X28"/>
  <c r="X22"/>
  <c r="X33"/>
  <c r="X19"/>
  <c r="X12"/>
  <c r="X31"/>
  <c r="X29"/>
  <c r="X30"/>
  <c r="X23"/>
  <c r="X34"/>
  <c r="X24"/>
  <c r="P115"/>
  <c r="AB9"/>
  <c r="X71"/>
  <c r="AA76"/>
  <c r="AC76" s="1"/>
  <c r="AD76" s="1"/>
  <c r="AC43"/>
  <c r="AC93"/>
  <c r="AH16"/>
  <c r="R16"/>
  <c r="P148"/>
  <c r="P141"/>
  <c r="P138"/>
  <c r="P142"/>
  <c r="P143"/>
  <c r="P139"/>
  <c r="P136"/>
  <c r="P116"/>
  <c r="P140"/>
  <c r="P137"/>
  <c r="P91"/>
  <c r="P87"/>
  <c r="P92"/>
  <c r="P89"/>
  <c r="P83"/>
  <c r="P80"/>
  <c r="P73"/>
  <c r="P67"/>
  <c r="P61"/>
  <c r="P52"/>
  <c r="P48"/>
  <c r="P44"/>
  <c r="P84"/>
  <c r="P81"/>
  <c r="P77"/>
  <c r="P58"/>
  <c r="P54"/>
  <c r="P49"/>
  <c r="P42"/>
  <c r="P38"/>
  <c r="P93"/>
  <c r="P86"/>
  <c r="P82"/>
  <c r="P78"/>
  <c r="P63"/>
  <c r="P50"/>
  <c r="P39"/>
  <c r="P90"/>
  <c r="P85"/>
  <c r="P79"/>
  <c r="P69"/>
  <c r="P64"/>
  <c r="P60"/>
  <c r="P47"/>
  <c r="P43"/>
  <c r="P32"/>
  <c r="P28"/>
  <c r="P22"/>
  <c r="P24"/>
  <c r="P34"/>
  <c r="P19"/>
  <c r="P33"/>
  <c r="P31"/>
  <c r="P29"/>
  <c r="P12"/>
  <c r="P30"/>
  <c r="P23"/>
  <c r="AH17"/>
  <c r="AA12"/>
  <c r="AC5"/>
  <c r="AB10"/>
  <c r="AB7"/>
  <c r="F16"/>
  <c r="P76"/>
  <c r="P41"/>
  <c r="J16"/>
  <c r="Z21"/>
  <c r="V40"/>
  <c r="V16"/>
  <c r="Z16"/>
  <c r="V21"/>
  <c r="T16"/>
  <c r="AA115"/>
  <c r="AB129" i="26"/>
  <c r="Q129" i="25"/>
  <c r="R53" s="1"/>
  <c r="AF12"/>
  <c r="AB118"/>
  <c r="AB35" i="26"/>
  <c r="AC35"/>
  <c r="AD35" s="1"/>
  <c r="AA36"/>
  <c r="AC36" s="1"/>
  <c r="AD36" s="1"/>
  <c r="P27" i="25"/>
  <c r="O35"/>
  <c r="O36"/>
  <c r="O37" s="1"/>
  <c r="R27"/>
  <c r="Q35"/>
  <c r="Q36"/>
  <c r="Q37" s="1"/>
  <c r="Q145"/>
  <c r="P53"/>
  <c r="O145"/>
  <c r="P145" s="1"/>
  <c r="M36"/>
  <c r="N21"/>
  <c r="N126"/>
  <c r="M129"/>
  <c r="L21"/>
  <c r="K36"/>
  <c r="L126"/>
  <c r="K129"/>
  <c r="I36"/>
  <c r="J21"/>
  <c r="J126"/>
  <c r="I129"/>
  <c r="H21"/>
  <c r="G36"/>
  <c r="H126"/>
  <c r="G129"/>
  <c r="E36"/>
  <c r="F21"/>
  <c r="F126"/>
  <c r="E129"/>
  <c r="R145" i="26"/>
  <c r="AH145"/>
  <c r="C36" i="25"/>
  <c r="D21"/>
  <c r="D126"/>
  <c r="C129"/>
  <c r="AD11"/>
  <c r="AD10"/>
  <c r="AD7"/>
  <c r="AD8"/>
  <c r="AD9"/>
  <c r="R21"/>
  <c r="AH21"/>
  <c r="AB115"/>
  <c r="AC115"/>
  <c r="T35"/>
  <c r="P40"/>
  <c r="P16"/>
  <c r="T21"/>
  <c r="AB142"/>
  <c r="AB120"/>
  <c r="AB143"/>
  <c r="AB139"/>
  <c r="AB136"/>
  <c r="AB133"/>
  <c r="AB127"/>
  <c r="AB125"/>
  <c r="AB121"/>
  <c r="AB116"/>
  <c r="AB90"/>
  <c r="AB87"/>
  <c r="AB81"/>
  <c r="AB77"/>
  <c r="AB62"/>
  <c r="AB58"/>
  <c r="AB54"/>
  <c r="AB49"/>
  <c r="AB45"/>
  <c r="AB42"/>
  <c r="AB38"/>
  <c r="AB91"/>
  <c r="AB85"/>
  <c r="AB82"/>
  <c r="AB78"/>
  <c r="AB63"/>
  <c r="AB59"/>
  <c r="AB55"/>
  <c r="AB50"/>
  <c r="AB46"/>
  <c r="AB39"/>
  <c r="AB89"/>
  <c r="AB12"/>
  <c r="AB25"/>
  <c r="AB22"/>
  <c r="AB34"/>
  <c r="AB30"/>
  <c r="AB24"/>
  <c r="AB31"/>
  <c r="AB28"/>
  <c r="AA16"/>
  <c r="AC12"/>
  <c r="AB19"/>
  <c r="AB64"/>
  <c r="AB47"/>
  <c r="AB53"/>
  <c r="AB23"/>
  <c r="AB56"/>
  <c r="AB65"/>
  <c r="AB80"/>
  <c r="AB29"/>
  <c r="AB119"/>
  <c r="AB92"/>
  <c r="AB117"/>
  <c r="AB88"/>
  <c r="AB141"/>
  <c r="AB32"/>
  <c r="AB75"/>
  <c r="AB44"/>
  <c r="AB69"/>
  <c r="AB33"/>
  <c r="AB79"/>
  <c r="AB83"/>
  <c r="AB68"/>
  <c r="AB71"/>
  <c r="AB148"/>
  <c r="AB144"/>
  <c r="AB57"/>
  <c r="AB73"/>
  <c r="AB61"/>
  <c r="AB67"/>
  <c r="AB72"/>
  <c r="AB66"/>
  <c r="AB60"/>
  <c r="AB122"/>
  <c r="AB137"/>
  <c r="AB140"/>
  <c r="AB128"/>
  <c r="AB41"/>
  <c r="AB40"/>
  <c r="AB48"/>
  <c r="AB86"/>
  <c r="AB70"/>
  <c r="AB26"/>
  <c r="AB52"/>
  <c r="AB51"/>
  <c r="AB84"/>
  <c r="AB138"/>
  <c r="AA17"/>
  <c r="AH27"/>
  <c r="AH126"/>
  <c r="X16"/>
  <c r="AB43"/>
  <c r="AB36" i="26"/>
  <c r="AD43" i="25"/>
  <c r="AD118"/>
  <c r="AA37" i="26"/>
  <c r="AC37" s="1"/>
  <c r="AD37" s="1"/>
  <c r="N36" i="25"/>
  <c r="M37"/>
  <c r="N53"/>
  <c r="M145"/>
  <c r="N145" s="1"/>
  <c r="N129"/>
  <c r="L53"/>
  <c r="K145"/>
  <c r="L145" s="1"/>
  <c r="L129"/>
  <c r="K37"/>
  <c r="L36"/>
  <c r="I37"/>
  <c r="J36"/>
  <c r="J53"/>
  <c r="I145"/>
  <c r="J145" s="1"/>
  <c r="J129"/>
  <c r="H53"/>
  <c r="G145"/>
  <c r="H145" s="1"/>
  <c r="H129"/>
  <c r="G37"/>
  <c r="H36"/>
  <c r="F36"/>
  <c r="E37"/>
  <c r="F53"/>
  <c r="F129"/>
  <c r="E145"/>
  <c r="F145" s="1"/>
  <c r="D53"/>
  <c r="C145"/>
  <c r="D145" s="1"/>
  <c r="D129"/>
  <c r="D36"/>
  <c r="C37"/>
  <c r="AA131" i="26"/>
  <c r="AC16" i="25"/>
  <c r="AD16"/>
  <c r="AB16"/>
  <c r="X35"/>
  <c r="R35"/>
  <c r="AH35"/>
  <c r="AD148"/>
  <c r="AD141"/>
  <c r="AD138"/>
  <c r="AD119"/>
  <c r="AD89"/>
  <c r="AD87"/>
  <c r="AD84"/>
  <c r="AD83"/>
  <c r="AD80"/>
  <c r="AD65"/>
  <c r="AD61"/>
  <c r="AD57"/>
  <c r="AD52"/>
  <c r="AD48"/>
  <c r="AD44"/>
  <c r="AD33"/>
  <c r="AD28"/>
  <c r="AD24"/>
  <c r="AD22"/>
  <c r="AD12"/>
  <c r="AD30"/>
  <c r="AD49"/>
  <c r="AD42"/>
  <c r="AD54"/>
  <c r="AD82"/>
  <c r="AD38"/>
  <c r="AD50"/>
  <c r="AD91"/>
  <c r="AD143"/>
  <c r="AD62"/>
  <c r="AD72"/>
  <c r="AD46"/>
  <c r="AD45"/>
  <c r="AD55"/>
  <c r="AD63"/>
  <c r="AD78"/>
  <c r="AD127"/>
  <c r="AD29"/>
  <c r="AD34"/>
  <c r="AD77"/>
  <c r="AD92"/>
  <c r="AD85"/>
  <c r="AD139"/>
  <c r="AD23"/>
  <c r="AD26"/>
  <c r="AD31"/>
  <c r="AD58"/>
  <c r="AD73"/>
  <c r="AD81"/>
  <c r="AD120"/>
  <c r="AD90"/>
  <c r="AD125"/>
  <c r="AD86"/>
  <c r="AD121"/>
  <c r="AD133"/>
  <c r="AD142"/>
  <c r="AD144"/>
  <c r="AD122"/>
  <c r="AD69"/>
  <c r="AD128"/>
  <c r="AD75"/>
  <c r="AD67"/>
  <c r="AD79"/>
  <c r="AD32"/>
  <c r="AD71"/>
  <c r="AD40"/>
  <c r="AD117"/>
  <c r="AD39"/>
  <c r="AD64"/>
  <c r="AD70"/>
  <c r="AD53"/>
  <c r="AD47"/>
  <c r="AD140"/>
  <c r="AD116"/>
  <c r="AD56"/>
  <c r="AD19"/>
  <c r="AD136"/>
  <c r="AD41"/>
  <c r="AD51"/>
  <c r="AD60"/>
  <c r="AD137"/>
  <c r="AD68"/>
  <c r="AD66"/>
  <c r="P21"/>
  <c r="AD115"/>
  <c r="AD93"/>
  <c r="R129"/>
  <c r="AH129"/>
  <c r="T129"/>
  <c r="T145"/>
  <c r="AA126"/>
  <c r="R36"/>
  <c r="AH36"/>
  <c r="X21"/>
  <c r="Z35"/>
  <c r="T36"/>
  <c r="AA21"/>
  <c r="AB17"/>
  <c r="AC17"/>
  <c r="AD17" s="1"/>
  <c r="V35"/>
  <c r="P35"/>
  <c r="AA27"/>
  <c r="V129"/>
  <c r="V145"/>
  <c r="Z129"/>
  <c r="AA9" i="5"/>
  <c r="AB37" i="26"/>
  <c r="M131" i="25"/>
  <c r="N131" s="1"/>
  <c r="N37"/>
  <c r="L37"/>
  <c r="K131"/>
  <c r="L131" s="1"/>
  <c r="I131"/>
  <c r="J55" s="1"/>
  <c r="J37"/>
  <c r="H37"/>
  <c r="G131"/>
  <c r="H131" s="1"/>
  <c r="E131"/>
  <c r="F131" s="1"/>
  <c r="F37"/>
  <c r="C131"/>
  <c r="C135" s="1"/>
  <c r="D37"/>
  <c r="AB131" i="26"/>
  <c r="AA135"/>
  <c r="AB135" s="1"/>
  <c r="AC131"/>
  <c r="AD131" s="1"/>
  <c r="Z36" i="25"/>
  <c r="P129"/>
  <c r="AB27"/>
  <c r="AC27"/>
  <c r="AD27"/>
  <c r="AA35"/>
  <c r="AA36" s="1"/>
  <c r="X129"/>
  <c r="X145"/>
  <c r="R145"/>
  <c r="AH145"/>
  <c r="AB126"/>
  <c r="AC126"/>
  <c r="AD126"/>
  <c r="AA129"/>
  <c r="AC129" s="1"/>
  <c r="AD129" s="1"/>
  <c r="AC21"/>
  <c r="AD21"/>
  <c r="AB21"/>
  <c r="X9" i="21"/>
  <c r="V9"/>
  <c r="R9"/>
  <c r="P9"/>
  <c r="T9"/>
  <c r="N9"/>
  <c r="L9"/>
  <c r="J9"/>
  <c r="H9"/>
  <c r="F9"/>
  <c r="D9"/>
  <c r="N55" i="25"/>
  <c r="L55"/>
  <c r="AA146" i="26"/>
  <c r="AB146" s="1"/>
  <c r="P36" i="25"/>
  <c r="AB129"/>
  <c r="AC35"/>
  <c r="AD35"/>
  <c r="AB35"/>
  <c r="Y12" i="1"/>
  <c r="C12"/>
  <c r="Z65"/>
  <c r="D65"/>
  <c r="D70"/>
  <c r="AC146" i="26"/>
  <c r="AD146" s="1"/>
  <c r="AA73" i="21"/>
  <c r="Z17" i="1"/>
  <c r="S115"/>
  <c r="C115" i="24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C115" i="21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Y115" i="19"/>
  <c r="W115"/>
  <c r="U115"/>
  <c r="S115"/>
  <c r="O115"/>
  <c r="M115"/>
  <c r="K115"/>
  <c r="I115"/>
  <c r="G115"/>
  <c r="E115"/>
  <c r="C115"/>
  <c r="Y115" i="5"/>
  <c r="W115"/>
  <c r="U115"/>
  <c r="S115"/>
  <c r="Q115"/>
  <c r="O115"/>
  <c r="M115"/>
  <c r="K115"/>
  <c r="I115"/>
  <c r="G115"/>
  <c r="E115"/>
  <c r="C115"/>
  <c r="Y115" i="1"/>
  <c r="W115"/>
  <c r="W115" i="12"/>
  <c r="Q115" i="1"/>
  <c r="Q115" i="12"/>
  <c r="O115" i="1"/>
  <c r="O115" i="12"/>
  <c r="M115" i="1"/>
  <c r="M115" i="12"/>
  <c r="K115" i="1"/>
  <c r="K115" i="12"/>
  <c r="I115" i="1"/>
  <c r="I115" i="12"/>
  <c r="G115" i="1"/>
  <c r="G115" i="12"/>
  <c r="E115" i="1"/>
  <c r="E115" i="12"/>
  <c r="C115" i="1"/>
  <c r="AA114" i="12"/>
  <c r="AA113"/>
  <c r="AA111"/>
  <c r="AA110"/>
  <c r="AA109"/>
  <c r="AA108"/>
  <c r="AA105"/>
  <c r="AA104"/>
  <c r="AA103"/>
  <c r="AA102"/>
  <c r="AA101"/>
  <c r="AA99"/>
  <c r="AA98"/>
  <c r="AA96"/>
  <c r="AA94"/>
  <c r="AC134"/>
  <c r="AC132"/>
  <c r="AC130"/>
  <c r="AA107"/>
  <c r="AA112"/>
  <c r="S115"/>
  <c r="Z115" i="1"/>
  <c r="Y115" i="12"/>
  <c r="AA95"/>
  <c r="AA97"/>
  <c r="D115" i="1"/>
  <c r="C115" i="12"/>
  <c r="AA106"/>
  <c r="U115" i="1"/>
  <c r="U115" i="12"/>
  <c r="AA115" i="24"/>
  <c r="AC115"/>
  <c r="AA115" i="21"/>
  <c r="AC115"/>
  <c r="AA115" i="19"/>
  <c r="AA115" i="5"/>
  <c r="AC115"/>
  <c r="AC94" i="24"/>
  <c r="AC96"/>
  <c r="AC95"/>
  <c r="AC97"/>
  <c r="AC95" i="21"/>
  <c r="AC97"/>
  <c r="AC94"/>
  <c r="AC96"/>
  <c r="AC98" i="24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8" i="21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47" i="12"/>
  <c r="AC149"/>
  <c r="AC151"/>
  <c r="AA100"/>
  <c r="AA115" i="1"/>
  <c r="AC100" i="12"/>
  <c r="AC115" i="19"/>
  <c r="AC108" i="12"/>
  <c r="AC111"/>
  <c r="AC110"/>
  <c r="AC106"/>
  <c r="AC104"/>
  <c r="AC102"/>
  <c r="AC97"/>
  <c r="AC114"/>
  <c r="AC113"/>
  <c r="AC109"/>
  <c r="AC101"/>
  <c r="AC96"/>
  <c r="AC103"/>
  <c r="AC99"/>
  <c r="AC95"/>
  <c r="AC112"/>
  <c r="AC98"/>
  <c r="AC94"/>
  <c r="AC105"/>
  <c r="AC107"/>
  <c r="AA119" i="21"/>
  <c r="AA120"/>
  <c r="AA121"/>
  <c r="AA122"/>
  <c r="AA123"/>
  <c r="AA124"/>
  <c r="AA115" i="12"/>
  <c r="AC115"/>
  <c r="AC115" i="1"/>
  <c r="AA72"/>
  <c r="AC72"/>
  <c r="AA73"/>
  <c r="AC73"/>
  <c r="AA74"/>
  <c r="AC74"/>
  <c r="AA72" i="24"/>
  <c r="AA73"/>
  <c r="AA74"/>
  <c r="AA69" i="21"/>
  <c r="AA72"/>
  <c r="AA74"/>
  <c r="AA72" i="19"/>
  <c r="AA74"/>
  <c r="Y75" i="5"/>
  <c r="Y75" i="12"/>
  <c r="W75" i="5"/>
  <c r="AA70" i="24"/>
  <c r="AA71" i="21"/>
  <c r="AA70"/>
  <c r="AC70" i="5"/>
  <c r="AC72"/>
  <c r="AC74"/>
  <c r="AC71"/>
  <c r="Y75" i="1"/>
  <c r="AA70"/>
  <c r="AA75"/>
  <c r="AA71"/>
  <c r="AA66"/>
  <c r="Z9" i="24"/>
  <c r="X9"/>
  <c r="V9"/>
  <c r="T9"/>
  <c r="R9"/>
  <c r="P9"/>
  <c r="N9"/>
  <c r="L9"/>
  <c r="J9"/>
  <c r="H9"/>
  <c r="F9"/>
  <c r="D9"/>
  <c r="W75" i="12"/>
  <c r="AA75" i="5"/>
  <c r="AA75" i="12"/>
  <c r="AC74"/>
  <c r="AC72"/>
  <c r="AC75" i="1"/>
  <c r="AC71"/>
  <c r="AC70"/>
  <c r="AA71" i="24"/>
  <c r="AA75"/>
  <c r="AA75" i="21"/>
  <c r="AA75" i="19"/>
  <c r="AA71"/>
  <c r="AC74"/>
  <c r="AA73"/>
  <c r="AC72"/>
  <c r="AA70"/>
  <c r="AC73" i="5"/>
  <c r="J7" i="24"/>
  <c r="R7"/>
  <c r="Z7"/>
  <c r="J8"/>
  <c r="R8"/>
  <c r="Z8"/>
  <c r="H7"/>
  <c r="P7"/>
  <c r="X7"/>
  <c r="H8"/>
  <c r="P8"/>
  <c r="X8"/>
  <c r="F7"/>
  <c r="N7"/>
  <c r="V7"/>
  <c r="F8"/>
  <c r="N8"/>
  <c r="V8"/>
  <c r="D7"/>
  <c r="L7"/>
  <c r="T7"/>
  <c r="D8"/>
  <c r="L8"/>
  <c r="T8"/>
  <c r="AC75" i="5"/>
  <c r="AC71" i="12"/>
  <c r="AC73" i="19"/>
  <c r="AC73" i="12"/>
  <c r="AC75"/>
  <c r="AC71" i="19"/>
  <c r="AC70" i="12"/>
  <c r="AC70" i="19"/>
  <c r="AC75"/>
  <c r="AA53" i="24"/>
  <c r="AE65"/>
  <c r="AC150"/>
  <c r="AC148"/>
  <c r="AC146"/>
  <c r="AC133"/>
  <c r="AC131"/>
  <c r="AC129"/>
  <c r="AC75"/>
  <c r="AC73"/>
  <c r="AC72"/>
  <c r="AC71"/>
  <c r="AC70"/>
  <c r="AC150" i="21"/>
  <c r="AC148"/>
  <c r="AC146"/>
  <c r="AC133"/>
  <c r="AC131"/>
  <c r="AC129"/>
  <c r="AC75"/>
  <c r="AC73"/>
  <c r="AC72"/>
  <c r="AC71"/>
  <c r="AC70"/>
  <c r="AC69"/>
  <c r="AI68" i="1"/>
  <c r="AE65" i="21"/>
  <c r="AA82" i="1"/>
  <c r="AA83"/>
  <c r="AA84"/>
  <c r="AA85"/>
  <c r="AA86"/>
  <c r="AA87"/>
  <c r="AA88"/>
  <c r="AM5" i="5"/>
  <c r="C76" i="24"/>
  <c r="C76" i="21"/>
  <c r="E76" i="1"/>
  <c r="K76" i="19"/>
  <c r="I76"/>
  <c r="E76"/>
  <c r="U76"/>
  <c r="S76"/>
  <c r="Q76"/>
  <c r="O76"/>
  <c r="M76"/>
  <c r="G76"/>
  <c r="C76"/>
  <c r="S76" i="1"/>
  <c r="Q76"/>
  <c r="O76"/>
  <c r="M76"/>
  <c r="K76"/>
  <c r="I76"/>
  <c r="G76"/>
  <c r="C76"/>
  <c r="AH150" i="24"/>
  <c r="AH149"/>
  <c r="AA149"/>
  <c r="AC149"/>
  <c r="AH148"/>
  <c r="AH147"/>
  <c r="AA147"/>
  <c r="AC147"/>
  <c r="AH146"/>
  <c r="Y41" i="20"/>
  <c r="W41"/>
  <c r="U41"/>
  <c r="S41"/>
  <c r="Q41"/>
  <c r="O41"/>
  <c r="C143" i="24"/>
  <c r="C41" i="20"/>
  <c r="AH142" i="24"/>
  <c r="AA142"/>
  <c r="AC142"/>
  <c r="AH141"/>
  <c r="AA141"/>
  <c r="AC141"/>
  <c r="AH140"/>
  <c r="AA140"/>
  <c r="AC140"/>
  <c r="AH139"/>
  <c r="AA139"/>
  <c r="AC139"/>
  <c r="AH138"/>
  <c r="AA138"/>
  <c r="AC138"/>
  <c r="AH137"/>
  <c r="AA137"/>
  <c r="AC137"/>
  <c r="AH136"/>
  <c r="AI137"/>
  <c r="AA136"/>
  <c r="AC136"/>
  <c r="AH135"/>
  <c r="AA135"/>
  <c r="AC135"/>
  <c r="AH133"/>
  <c r="AH132"/>
  <c r="AA132"/>
  <c r="AC132"/>
  <c r="AH131"/>
  <c r="AH129"/>
  <c r="AH127"/>
  <c r="AA127"/>
  <c r="AC127"/>
  <c r="AH126"/>
  <c r="AA126"/>
  <c r="AC126"/>
  <c r="AH124"/>
  <c r="AA124"/>
  <c r="AC124"/>
  <c r="AH123"/>
  <c r="AA123"/>
  <c r="AC123"/>
  <c r="AH122"/>
  <c r="AA122"/>
  <c r="AC122"/>
  <c r="AH121"/>
  <c r="AA121"/>
  <c r="AC121"/>
  <c r="AH120"/>
  <c r="AA120"/>
  <c r="AC120"/>
  <c r="AH119"/>
  <c r="AA119"/>
  <c r="AC119"/>
  <c r="AH118"/>
  <c r="AA118"/>
  <c r="AC118"/>
  <c r="AH117"/>
  <c r="AA117"/>
  <c r="AC117"/>
  <c r="AH116"/>
  <c r="AA116"/>
  <c r="AC116"/>
  <c r="AH115"/>
  <c r="AH107"/>
  <c r="AH106"/>
  <c r="AH105"/>
  <c r="AH104"/>
  <c r="AH103"/>
  <c r="AH102"/>
  <c r="AH101"/>
  <c r="AH99"/>
  <c r="AH98"/>
  <c r="AH97"/>
  <c r="AH96"/>
  <c r="AH95"/>
  <c r="AH94"/>
  <c r="Y42" i="20"/>
  <c r="W42"/>
  <c r="U42"/>
  <c r="S42"/>
  <c r="O42"/>
  <c r="C93" i="24"/>
  <c r="C42" i="20"/>
  <c r="AH92" i="24"/>
  <c r="AA92"/>
  <c r="AH91"/>
  <c r="AA91"/>
  <c r="AC91"/>
  <c r="AH90"/>
  <c r="AA90"/>
  <c r="AC90"/>
  <c r="AH89"/>
  <c r="AA89"/>
  <c r="AC89"/>
  <c r="AH88"/>
  <c r="AA88"/>
  <c r="AC88"/>
  <c r="AH87"/>
  <c r="AA87"/>
  <c r="AC87"/>
  <c r="AH86"/>
  <c r="AA86"/>
  <c r="AC86"/>
  <c r="AH85"/>
  <c r="AA85"/>
  <c r="AC85"/>
  <c r="AH84"/>
  <c r="AA84"/>
  <c r="AC84"/>
  <c r="AH83"/>
  <c r="AA83"/>
  <c r="AC83"/>
  <c r="AH82"/>
  <c r="AE82"/>
  <c r="AA82"/>
  <c r="AC82"/>
  <c r="AH81"/>
  <c r="AA81"/>
  <c r="AC81"/>
  <c r="AH80"/>
  <c r="AA80"/>
  <c r="AC80"/>
  <c r="AH79"/>
  <c r="AA79"/>
  <c r="AC79"/>
  <c r="AH78"/>
  <c r="AA78"/>
  <c r="AC78"/>
  <c r="AH77"/>
  <c r="AA77"/>
  <c r="AC77"/>
  <c r="AH76"/>
  <c r="AH69"/>
  <c r="AA69"/>
  <c r="AH68"/>
  <c r="AA68"/>
  <c r="AC68"/>
  <c r="AH67"/>
  <c r="AA67"/>
  <c r="AH66"/>
  <c r="AA66"/>
  <c r="AC66"/>
  <c r="AH65"/>
  <c r="AA65"/>
  <c r="AC65"/>
  <c r="AH64"/>
  <c r="AA64"/>
  <c r="AH63"/>
  <c r="AA63"/>
  <c r="AH62"/>
  <c r="AA62"/>
  <c r="AC62"/>
  <c r="AH61"/>
  <c r="AA61"/>
  <c r="AH60"/>
  <c r="AA60"/>
  <c r="AH59"/>
  <c r="AA59"/>
  <c r="AC59"/>
  <c r="AH58"/>
  <c r="AA58"/>
  <c r="AH57"/>
  <c r="AA57"/>
  <c r="AC57"/>
  <c r="AH56"/>
  <c r="AA56"/>
  <c r="AC56"/>
  <c r="AH55"/>
  <c r="AA55"/>
  <c r="AC55"/>
  <c r="AH54"/>
  <c r="AA54"/>
  <c r="AC54"/>
  <c r="AH53"/>
  <c r="AC53"/>
  <c r="AH52"/>
  <c r="AA52"/>
  <c r="AC52"/>
  <c r="AH51"/>
  <c r="AA51"/>
  <c r="AC51"/>
  <c r="AH50"/>
  <c r="AA50"/>
  <c r="AH49"/>
  <c r="AA49"/>
  <c r="AC49"/>
  <c r="AH48"/>
  <c r="AA48"/>
  <c r="AH47"/>
  <c r="AA47"/>
  <c r="AH46"/>
  <c r="AA46"/>
  <c r="AC46"/>
  <c r="AH45"/>
  <c r="AA45"/>
  <c r="AC45"/>
  <c r="AH44"/>
  <c r="AA44"/>
  <c r="AC44"/>
  <c r="AH43"/>
  <c r="AA43"/>
  <c r="AC43"/>
  <c r="AH42"/>
  <c r="AA42"/>
  <c r="AC42"/>
  <c r="C41"/>
  <c r="AH40"/>
  <c r="AA40"/>
  <c r="AC40"/>
  <c r="AH39"/>
  <c r="AA39"/>
  <c r="AC39"/>
  <c r="AH38"/>
  <c r="AA38"/>
  <c r="AC38"/>
  <c r="AH34"/>
  <c r="AA34"/>
  <c r="AC34"/>
  <c r="AH33"/>
  <c r="AA33"/>
  <c r="AC33"/>
  <c r="AH32"/>
  <c r="AA32"/>
  <c r="AC32"/>
  <c r="AH31"/>
  <c r="AA31"/>
  <c r="AC31"/>
  <c r="AH30"/>
  <c r="AA30"/>
  <c r="AC30"/>
  <c r="AH29"/>
  <c r="AA29"/>
  <c r="AC29"/>
  <c r="AH28"/>
  <c r="AA28"/>
  <c r="AC28"/>
  <c r="AH26"/>
  <c r="AA26"/>
  <c r="AC26"/>
  <c r="AH25"/>
  <c r="AA25"/>
  <c r="AC25"/>
  <c r="AH24"/>
  <c r="AA24"/>
  <c r="AC24"/>
  <c r="AH23"/>
  <c r="AA23"/>
  <c r="AC23"/>
  <c r="AH22"/>
  <c r="AA22"/>
  <c r="AC22"/>
  <c r="AH20"/>
  <c r="AA20"/>
  <c r="AC20"/>
  <c r="AH19"/>
  <c r="AA19"/>
  <c r="AC19"/>
  <c r="AH18"/>
  <c r="AA18"/>
  <c r="AC18"/>
  <c r="AH15"/>
  <c r="C15"/>
  <c r="AH14"/>
  <c r="AA14"/>
  <c r="AC14"/>
  <c r="AH13"/>
  <c r="AA13"/>
  <c r="AC13"/>
  <c r="C12"/>
  <c r="AH11"/>
  <c r="AA11"/>
  <c r="AC11"/>
  <c r="Z11"/>
  <c r="X11"/>
  <c r="V11"/>
  <c r="T11"/>
  <c r="R11"/>
  <c r="P11"/>
  <c r="N11"/>
  <c r="L11"/>
  <c r="J11"/>
  <c r="H11"/>
  <c r="F11"/>
  <c r="D11"/>
  <c r="AH10"/>
  <c r="AA10"/>
  <c r="AC10"/>
  <c r="Z10"/>
  <c r="X10"/>
  <c r="V10"/>
  <c r="T10"/>
  <c r="R10"/>
  <c r="P10"/>
  <c r="N10"/>
  <c r="L10"/>
  <c r="J10"/>
  <c r="D10"/>
  <c r="AH9"/>
  <c r="AA9"/>
  <c r="AC9"/>
  <c r="AH8"/>
  <c r="AA8"/>
  <c r="AC8"/>
  <c r="AH7"/>
  <c r="AA7"/>
  <c r="AC7"/>
  <c r="AH6"/>
  <c r="AA6"/>
  <c r="AC6"/>
  <c r="AH5"/>
  <c r="AA5"/>
  <c r="AH6" i="21"/>
  <c r="AH7"/>
  <c r="AH8"/>
  <c r="AH9"/>
  <c r="AH10"/>
  <c r="AH11"/>
  <c r="AH13"/>
  <c r="AH14"/>
  <c r="AH18"/>
  <c r="AH19"/>
  <c r="AH20"/>
  <c r="AH22"/>
  <c r="AH23"/>
  <c r="AH24"/>
  <c r="AH25"/>
  <c r="AH26"/>
  <c r="AH28"/>
  <c r="AH29"/>
  <c r="AH30"/>
  <c r="AH31"/>
  <c r="AH32"/>
  <c r="AH33"/>
  <c r="AH34"/>
  <c r="AH38"/>
  <c r="AH39"/>
  <c r="AH40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7"/>
  <c r="AH78"/>
  <c r="AH79"/>
  <c r="AH80"/>
  <c r="AH81"/>
  <c r="AH82"/>
  <c r="AH83"/>
  <c r="AH84"/>
  <c r="AH85"/>
  <c r="AH86"/>
  <c r="AH87"/>
  <c r="AH88"/>
  <c r="AH89"/>
  <c r="AH90"/>
  <c r="AH91"/>
  <c r="AH92"/>
  <c r="AH94"/>
  <c r="AH95"/>
  <c r="AH96"/>
  <c r="AH97"/>
  <c r="AH98"/>
  <c r="AH99"/>
  <c r="AH101"/>
  <c r="AH102"/>
  <c r="AH103"/>
  <c r="AH104"/>
  <c r="AH105"/>
  <c r="AH106"/>
  <c r="AH107"/>
  <c r="AH115"/>
  <c r="AH116"/>
  <c r="AH117"/>
  <c r="AH118"/>
  <c r="AH119"/>
  <c r="AH120"/>
  <c r="AH121"/>
  <c r="AH122"/>
  <c r="AH123"/>
  <c r="AH124"/>
  <c r="AH126"/>
  <c r="AH127"/>
  <c r="AH129"/>
  <c r="AH131"/>
  <c r="AH132"/>
  <c r="AH133"/>
  <c r="AH135"/>
  <c r="AH136"/>
  <c r="AH137"/>
  <c r="AH138"/>
  <c r="AH139"/>
  <c r="AH140"/>
  <c r="AH141"/>
  <c r="AH142"/>
  <c r="AH146"/>
  <c r="AH147"/>
  <c r="AH148"/>
  <c r="AH149"/>
  <c r="AH150"/>
  <c r="AH5"/>
  <c r="AO6" i="5"/>
  <c r="AO7"/>
  <c r="AO8"/>
  <c r="AO9"/>
  <c r="AO10"/>
  <c r="AO11"/>
  <c r="AO13"/>
  <c r="AO14"/>
  <c r="AO18"/>
  <c r="AO19"/>
  <c r="AO20"/>
  <c r="AO22"/>
  <c r="AO23"/>
  <c r="AO24"/>
  <c r="AO25"/>
  <c r="AO26"/>
  <c r="AO28"/>
  <c r="AO29"/>
  <c r="AO30"/>
  <c r="AO31"/>
  <c r="AO32"/>
  <c r="AO33"/>
  <c r="AO34"/>
  <c r="AO38"/>
  <c r="AO39"/>
  <c r="AO40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7"/>
  <c r="AO78"/>
  <c r="AO79"/>
  <c r="AO80"/>
  <c r="AO81"/>
  <c r="AO82"/>
  <c r="AO83"/>
  <c r="AO84"/>
  <c r="AO85"/>
  <c r="AO86"/>
  <c r="AO87"/>
  <c r="AO88"/>
  <c r="AO89"/>
  <c r="AO90"/>
  <c r="AO91"/>
  <c r="AO92"/>
  <c r="AO94"/>
  <c r="AO95"/>
  <c r="AO96"/>
  <c r="AO97"/>
  <c r="AO98"/>
  <c r="AO99"/>
  <c r="AO101"/>
  <c r="AO102"/>
  <c r="AO103"/>
  <c r="AO104"/>
  <c r="AO105"/>
  <c r="AO106"/>
  <c r="AO107"/>
  <c r="AO115"/>
  <c r="AO116"/>
  <c r="AO117"/>
  <c r="AO119"/>
  <c r="AO120"/>
  <c r="AO121"/>
  <c r="AO122"/>
  <c r="AO123"/>
  <c r="AO124"/>
  <c r="AO125"/>
  <c r="AO127"/>
  <c r="AO128"/>
  <c r="AO130"/>
  <c r="AO132"/>
  <c r="AO133"/>
  <c r="AO134"/>
  <c r="AO136"/>
  <c r="AO137"/>
  <c r="AO138"/>
  <c r="AO139"/>
  <c r="AO140"/>
  <c r="AO141"/>
  <c r="AO142"/>
  <c r="AO143"/>
  <c r="AO147"/>
  <c r="AO148"/>
  <c r="AO149"/>
  <c r="AO150"/>
  <c r="AO151"/>
  <c r="AO5"/>
  <c r="AI6" i="1"/>
  <c r="AI7"/>
  <c r="AI8"/>
  <c r="AI9"/>
  <c r="AI10"/>
  <c r="AI11"/>
  <c r="AI13"/>
  <c r="AI14"/>
  <c r="AI18"/>
  <c r="AI19"/>
  <c r="AI20"/>
  <c r="AI22"/>
  <c r="AI23"/>
  <c r="AI24"/>
  <c r="AI25"/>
  <c r="AI26"/>
  <c r="AI28"/>
  <c r="AI29"/>
  <c r="AI30"/>
  <c r="AI31"/>
  <c r="AI32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9"/>
  <c r="AI77"/>
  <c r="AI78"/>
  <c r="AI79"/>
  <c r="AI80"/>
  <c r="AI81"/>
  <c r="AI82"/>
  <c r="AI83"/>
  <c r="AI84"/>
  <c r="AI85"/>
  <c r="AI86"/>
  <c r="AI87"/>
  <c r="AI88"/>
  <c r="AI89"/>
  <c r="AI90"/>
  <c r="AI91"/>
  <c r="AI92"/>
  <c r="AI94"/>
  <c r="AI95"/>
  <c r="AI96"/>
  <c r="AI97"/>
  <c r="AI98"/>
  <c r="AI99"/>
  <c r="AI101"/>
  <c r="AI102"/>
  <c r="AI103"/>
  <c r="AI104"/>
  <c r="AI105"/>
  <c r="AI106"/>
  <c r="AI107"/>
  <c r="AI115"/>
  <c r="AI116"/>
  <c r="AI117"/>
  <c r="AI119"/>
  <c r="AI120"/>
  <c r="AI121"/>
  <c r="AI122"/>
  <c r="AI123"/>
  <c r="AI124"/>
  <c r="AI125"/>
  <c r="AI127"/>
  <c r="AI128"/>
  <c r="AI130"/>
  <c r="AI132"/>
  <c r="AI133"/>
  <c r="AI134"/>
  <c r="AI136"/>
  <c r="AI137"/>
  <c r="AI138"/>
  <c r="AI139"/>
  <c r="AI140"/>
  <c r="AI141"/>
  <c r="AI142"/>
  <c r="AI143"/>
  <c r="AI147"/>
  <c r="AI148"/>
  <c r="AI149"/>
  <c r="AI150"/>
  <c r="AI151"/>
  <c r="AI5"/>
  <c r="AH93" i="24"/>
  <c r="Q42" i="20"/>
  <c r="AA42"/>
  <c r="AA41"/>
  <c r="AC92" i="24"/>
  <c r="T17"/>
  <c r="T114"/>
  <c r="T110"/>
  <c r="T108"/>
  <c r="T111"/>
  <c r="T109"/>
  <c r="T100"/>
  <c r="T106"/>
  <c r="T105"/>
  <c r="T101"/>
  <c r="T98"/>
  <c r="T94"/>
  <c r="T104"/>
  <c r="T99"/>
  <c r="T97"/>
  <c r="T95"/>
  <c r="T113"/>
  <c r="T103"/>
  <c r="T96"/>
  <c r="T107"/>
  <c r="T102"/>
  <c r="T112"/>
  <c r="T115"/>
  <c r="T136"/>
  <c r="T126"/>
  <c r="T124"/>
  <c r="T122"/>
  <c r="T120"/>
  <c r="T118"/>
  <c r="T116"/>
  <c r="T137"/>
  <c r="T127"/>
  <c r="T123"/>
  <c r="T121"/>
  <c r="T119"/>
  <c r="T117"/>
  <c r="T73"/>
  <c r="T75"/>
  <c r="T72"/>
  <c r="T71"/>
  <c r="T70"/>
  <c r="T66"/>
  <c r="R17"/>
  <c r="R104"/>
  <c r="R99"/>
  <c r="R97"/>
  <c r="R95"/>
  <c r="R105"/>
  <c r="R101"/>
  <c r="R98"/>
  <c r="R94"/>
  <c r="R114"/>
  <c r="R110"/>
  <c r="R113"/>
  <c r="R111"/>
  <c r="R109"/>
  <c r="R103"/>
  <c r="R96"/>
  <c r="R108"/>
  <c r="R106"/>
  <c r="R102"/>
  <c r="R112"/>
  <c r="R100"/>
  <c r="R107"/>
  <c r="R115"/>
  <c r="R124"/>
  <c r="R122"/>
  <c r="R120"/>
  <c r="R118"/>
  <c r="R116"/>
  <c r="R137"/>
  <c r="R127"/>
  <c r="R123"/>
  <c r="R121"/>
  <c r="R119"/>
  <c r="R117"/>
  <c r="R136"/>
  <c r="R126"/>
  <c r="R73"/>
  <c r="R72"/>
  <c r="R71"/>
  <c r="R75"/>
  <c r="R66"/>
  <c r="R70"/>
  <c r="Z17"/>
  <c r="Z104"/>
  <c r="Z99"/>
  <c r="Z97"/>
  <c r="Z95"/>
  <c r="Z103"/>
  <c r="Z96"/>
  <c r="Z108"/>
  <c r="Z113"/>
  <c r="Z111"/>
  <c r="Z109"/>
  <c r="Z105"/>
  <c r="Z101"/>
  <c r="Z98"/>
  <c r="Z94"/>
  <c r="Z114"/>
  <c r="Z110"/>
  <c r="Z107"/>
  <c r="Z100"/>
  <c r="Z106"/>
  <c r="Z112"/>
  <c r="Z102"/>
  <c r="Z115"/>
  <c r="Z124"/>
  <c r="Z122"/>
  <c r="Z120"/>
  <c r="Z118"/>
  <c r="Z116"/>
  <c r="Z137"/>
  <c r="Z127"/>
  <c r="Z123"/>
  <c r="Z121"/>
  <c r="Z119"/>
  <c r="Z117"/>
  <c r="Z136"/>
  <c r="Z126"/>
  <c r="Z72"/>
  <c r="Z73"/>
  <c r="Z70"/>
  <c r="Z66"/>
  <c r="Z71"/>
  <c r="Z75"/>
  <c r="V17"/>
  <c r="V105"/>
  <c r="V103"/>
  <c r="V101"/>
  <c r="V98"/>
  <c r="V96"/>
  <c r="V94"/>
  <c r="V99"/>
  <c r="V95"/>
  <c r="V113"/>
  <c r="V111"/>
  <c r="V114"/>
  <c r="V110"/>
  <c r="V108"/>
  <c r="V104"/>
  <c r="V97"/>
  <c r="V109"/>
  <c r="V100"/>
  <c r="V106"/>
  <c r="V112"/>
  <c r="V102"/>
  <c r="V107"/>
  <c r="V115"/>
  <c r="V123"/>
  <c r="V121"/>
  <c r="V119"/>
  <c r="V117"/>
  <c r="V136"/>
  <c r="V126"/>
  <c r="V124"/>
  <c r="V122"/>
  <c r="V120"/>
  <c r="V118"/>
  <c r="V116"/>
  <c r="V137"/>
  <c r="V127"/>
  <c r="V72"/>
  <c r="V73"/>
  <c r="V70"/>
  <c r="V71"/>
  <c r="V75"/>
  <c r="V66"/>
  <c r="P17"/>
  <c r="P113"/>
  <c r="P111"/>
  <c r="P109"/>
  <c r="P114"/>
  <c r="P110"/>
  <c r="P108"/>
  <c r="P104"/>
  <c r="P97"/>
  <c r="P105"/>
  <c r="P103"/>
  <c r="P101"/>
  <c r="P98"/>
  <c r="P96"/>
  <c r="P94"/>
  <c r="P100"/>
  <c r="P99"/>
  <c r="P95"/>
  <c r="P106"/>
  <c r="P102"/>
  <c r="P107"/>
  <c r="P112"/>
  <c r="P115"/>
  <c r="P137"/>
  <c r="P127"/>
  <c r="P123"/>
  <c r="P121"/>
  <c r="P119"/>
  <c r="P117"/>
  <c r="P136"/>
  <c r="P126"/>
  <c r="P124"/>
  <c r="P122"/>
  <c r="P120"/>
  <c r="P118"/>
  <c r="P116"/>
  <c r="P72"/>
  <c r="P70"/>
  <c r="P73"/>
  <c r="P66"/>
  <c r="P75"/>
  <c r="P71"/>
  <c r="X17"/>
  <c r="X113"/>
  <c r="X111"/>
  <c r="X109"/>
  <c r="X106"/>
  <c r="X99"/>
  <c r="X95"/>
  <c r="X105"/>
  <c r="X103"/>
  <c r="X101"/>
  <c r="X98"/>
  <c r="X96"/>
  <c r="X94"/>
  <c r="X114"/>
  <c r="X110"/>
  <c r="X108"/>
  <c r="X100"/>
  <c r="X104"/>
  <c r="X97"/>
  <c r="X102"/>
  <c r="X107"/>
  <c r="X112"/>
  <c r="X115"/>
  <c r="X137"/>
  <c r="X127"/>
  <c r="X123"/>
  <c r="X121"/>
  <c r="X119"/>
  <c r="X117"/>
  <c r="X136"/>
  <c r="X126"/>
  <c r="X124"/>
  <c r="X122"/>
  <c r="X120"/>
  <c r="X118"/>
  <c r="X116"/>
  <c r="X72"/>
  <c r="X66"/>
  <c r="X75"/>
  <c r="X70"/>
  <c r="X73"/>
  <c r="X71"/>
  <c r="AI137" i="21"/>
  <c r="N17" i="24"/>
  <c r="N111"/>
  <c r="N104"/>
  <c r="N97"/>
  <c r="N114"/>
  <c r="N110"/>
  <c r="N103"/>
  <c r="N96"/>
  <c r="N113"/>
  <c r="N109"/>
  <c r="N100"/>
  <c r="N99"/>
  <c r="N95"/>
  <c r="N108"/>
  <c r="N105"/>
  <c r="N101"/>
  <c r="N98"/>
  <c r="N94"/>
  <c r="N107"/>
  <c r="N106"/>
  <c r="N102"/>
  <c r="N112"/>
  <c r="N115"/>
  <c r="N127"/>
  <c r="N124"/>
  <c r="N120"/>
  <c r="N116"/>
  <c r="N123"/>
  <c r="N119"/>
  <c r="N117"/>
  <c r="N126"/>
  <c r="N137"/>
  <c r="N122"/>
  <c r="N118"/>
  <c r="N136"/>
  <c r="N121"/>
  <c r="N73"/>
  <c r="N72"/>
  <c r="N75"/>
  <c r="N71"/>
  <c r="N70"/>
  <c r="N66"/>
  <c r="L17"/>
  <c r="L114"/>
  <c r="L113"/>
  <c r="L111"/>
  <c r="L110"/>
  <c r="L109"/>
  <c r="L108"/>
  <c r="L105"/>
  <c r="L104"/>
  <c r="L103"/>
  <c r="L101"/>
  <c r="L99"/>
  <c r="L98"/>
  <c r="L97"/>
  <c r="L96"/>
  <c r="L95"/>
  <c r="L94"/>
  <c r="L106"/>
  <c r="L100"/>
  <c r="L112"/>
  <c r="L107"/>
  <c r="L102"/>
  <c r="L115"/>
  <c r="L124"/>
  <c r="L120"/>
  <c r="L123"/>
  <c r="L117"/>
  <c r="L137"/>
  <c r="L136"/>
  <c r="L127"/>
  <c r="L126"/>
  <c r="L122"/>
  <c r="L118"/>
  <c r="L121"/>
  <c r="L119"/>
  <c r="L116"/>
  <c r="L73"/>
  <c r="L72"/>
  <c r="L71"/>
  <c r="L70"/>
  <c r="L66"/>
  <c r="L75"/>
  <c r="J17"/>
  <c r="J111"/>
  <c r="J103"/>
  <c r="J99"/>
  <c r="J95"/>
  <c r="J112"/>
  <c r="J104"/>
  <c r="J113"/>
  <c r="J109"/>
  <c r="J105"/>
  <c r="J101"/>
  <c r="J97"/>
  <c r="J100"/>
  <c r="J114"/>
  <c r="J110"/>
  <c r="J106"/>
  <c r="J102"/>
  <c r="J98"/>
  <c r="J94"/>
  <c r="J108"/>
  <c r="J96"/>
  <c r="J107"/>
  <c r="J115"/>
  <c r="J136"/>
  <c r="J124"/>
  <c r="J120"/>
  <c r="J116"/>
  <c r="J121"/>
  <c r="J126"/>
  <c r="J137"/>
  <c r="J118"/>
  <c r="J127"/>
  <c r="J123"/>
  <c r="J119"/>
  <c r="J117"/>
  <c r="J122"/>
  <c r="J73"/>
  <c r="J72"/>
  <c r="J75"/>
  <c r="J71"/>
  <c r="J70"/>
  <c r="J66"/>
  <c r="H17"/>
  <c r="H114"/>
  <c r="H110"/>
  <c r="H108"/>
  <c r="H104"/>
  <c r="H102"/>
  <c r="H101"/>
  <c r="H99"/>
  <c r="H97"/>
  <c r="H95"/>
  <c r="H113"/>
  <c r="H111"/>
  <c r="H109"/>
  <c r="H105"/>
  <c r="H103"/>
  <c r="H98"/>
  <c r="H96"/>
  <c r="H94"/>
  <c r="H100"/>
  <c r="H112"/>
  <c r="H106"/>
  <c r="H107"/>
  <c r="H115"/>
  <c r="H137"/>
  <c r="H127"/>
  <c r="H116"/>
  <c r="H124"/>
  <c r="H122"/>
  <c r="H120"/>
  <c r="H118"/>
  <c r="H136"/>
  <c r="H126"/>
  <c r="H123"/>
  <c r="H121"/>
  <c r="H119"/>
  <c r="H117"/>
  <c r="H73"/>
  <c r="H71"/>
  <c r="H66"/>
  <c r="H70"/>
  <c r="H72"/>
  <c r="H75"/>
  <c r="F17"/>
  <c r="F114"/>
  <c r="F109"/>
  <c r="F105"/>
  <c r="F99"/>
  <c r="F113"/>
  <c r="F108"/>
  <c r="F104"/>
  <c r="F98"/>
  <c r="F94"/>
  <c r="F112"/>
  <c r="F111"/>
  <c r="F103"/>
  <c r="F102"/>
  <c r="F101"/>
  <c r="F97"/>
  <c r="F110"/>
  <c r="F96"/>
  <c r="F95"/>
  <c r="F107"/>
  <c r="F106"/>
  <c r="F100"/>
  <c r="F115"/>
  <c r="F136"/>
  <c r="F123"/>
  <c r="F119"/>
  <c r="F127"/>
  <c r="F122"/>
  <c r="F118"/>
  <c r="F126"/>
  <c r="F121"/>
  <c r="F117"/>
  <c r="F137"/>
  <c r="F124"/>
  <c r="F120"/>
  <c r="F116"/>
  <c r="F73"/>
  <c r="F72"/>
  <c r="F70"/>
  <c r="F71"/>
  <c r="F66"/>
  <c r="F75"/>
  <c r="D17"/>
  <c r="D114"/>
  <c r="D113"/>
  <c r="D99"/>
  <c r="D97"/>
  <c r="D95"/>
  <c r="D112"/>
  <c r="D111"/>
  <c r="D110"/>
  <c r="D109"/>
  <c r="D108"/>
  <c r="D107"/>
  <c r="D106"/>
  <c r="D105"/>
  <c r="D103"/>
  <c r="D101"/>
  <c r="D100"/>
  <c r="D98"/>
  <c r="D96"/>
  <c r="D94"/>
  <c r="D102"/>
  <c r="D104"/>
  <c r="D115"/>
  <c r="D137"/>
  <c r="D136"/>
  <c r="D127"/>
  <c r="D126"/>
  <c r="D123"/>
  <c r="D121"/>
  <c r="D119"/>
  <c r="D117"/>
  <c r="D124"/>
  <c r="D122"/>
  <c r="D120"/>
  <c r="D118"/>
  <c r="D116"/>
  <c r="D70"/>
  <c r="D66"/>
  <c r="D71"/>
  <c r="D74"/>
  <c r="D73"/>
  <c r="D72"/>
  <c r="D75"/>
  <c r="AB11"/>
  <c r="AC5"/>
  <c r="AD10"/>
  <c r="F64"/>
  <c r="F62"/>
  <c r="F60"/>
  <c r="F57"/>
  <c r="F54"/>
  <c r="F52"/>
  <c r="F50"/>
  <c r="F47"/>
  <c r="F43"/>
  <c r="F69"/>
  <c r="F21"/>
  <c r="F68"/>
  <c r="F65"/>
  <c r="F63"/>
  <c r="F61"/>
  <c r="F58"/>
  <c r="F56"/>
  <c r="F51"/>
  <c r="F49"/>
  <c r="F48"/>
  <c r="F46"/>
  <c r="F45"/>
  <c r="F44"/>
  <c r="F26"/>
  <c r="F25"/>
  <c r="N63"/>
  <c r="N61"/>
  <c r="N58"/>
  <c r="N56"/>
  <c r="N52"/>
  <c r="N51"/>
  <c r="N49"/>
  <c r="N46"/>
  <c r="N45"/>
  <c r="N44"/>
  <c r="N69"/>
  <c r="N67"/>
  <c r="N68"/>
  <c r="N65"/>
  <c r="N64"/>
  <c r="N62"/>
  <c r="N60"/>
  <c r="N57"/>
  <c r="N54"/>
  <c r="N50"/>
  <c r="N48"/>
  <c r="N47"/>
  <c r="N43"/>
  <c r="N26"/>
  <c r="N25"/>
  <c r="V23"/>
  <c r="V65"/>
  <c r="V64"/>
  <c r="V62"/>
  <c r="V60"/>
  <c r="V57"/>
  <c r="V54"/>
  <c r="V50"/>
  <c r="V48"/>
  <c r="V47"/>
  <c r="V43"/>
  <c r="V69"/>
  <c r="V68"/>
  <c r="V63"/>
  <c r="V61"/>
  <c r="V58"/>
  <c r="V56"/>
  <c r="V52"/>
  <c r="V51"/>
  <c r="V49"/>
  <c r="V46"/>
  <c r="V45"/>
  <c r="V44"/>
  <c r="V26"/>
  <c r="V25"/>
  <c r="D34"/>
  <c r="D69"/>
  <c r="C21"/>
  <c r="D21"/>
  <c r="D68"/>
  <c r="D65"/>
  <c r="D64"/>
  <c r="D63"/>
  <c r="D62"/>
  <c r="D61"/>
  <c r="D60"/>
  <c r="D58"/>
  <c r="D57"/>
  <c r="D56"/>
  <c r="D54"/>
  <c r="D52"/>
  <c r="D51"/>
  <c r="D50"/>
  <c r="D49"/>
  <c r="D48"/>
  <c r="D47"/>
  <c r="D46"/>
  <c r="D45"/>
  <c r="D44"/>
  <c r="D43"/>
  <c r="D26"/>
  <c r="D25"/>
  <c r="L21"/>
  <c r="L68"/>
  <c r="L65"/>
  <c r="L64"/>
  <c r="L63"/>
  <c r="L62"/>
  <c r="L61"/>
  <c r="L60"/>
  <c r="L58"/>
  <c r="L57"/>
  <c r="L56"/>
  <c r="L54"/>
  <c r="L52"/>
  <c r="L51"/>
  <c r="L50"/>
  <c r="L49"/>
  <c r="L48"/>
  <c r="L47"/>
  <c r="L46"/>
  <c r="L45"/>
  <c r="L44"/>
  <c r="L43"/>
  <c r="L69"/>
  <c r="L26"/>
  <c r="L25"/>
  <c r="T76"/>
  <c r="T69"/>
  <c r="T68"/>
  <c r="T65"/>
  <c r="T64"/>
  <c r="T63"/>
  <c r="T62"/>
  <c r="T61"/>
  <c r="T60"/>
  <c r="T58"/>
  <c r="T57"/>
  <c r="T56"/>
  <c r="T54"/>
  <c r="T52"/>
  <c r="T51"/>
  <c r="T50"/>
  <c r="T49"/>
  <c r="T48"/>
  <c r="T47"/>
  <c r="T46"/>
  <c r="T45"/>
  <c r="T44"/>
  <c r="T43"/>
  <c r="T26"/>
  <c r="T25"/>
  <c r="J68"/>
  <c r="J65"/>
  <c r="J64"/>
  <c r="J63"/>
  <c r="J62"/>
  <c r="J61"/>
  <c r="J60"/>
  <c r="J58"/>
  <c r="J57"/>
  <c r="J56"/>
  <c r="J54"/>
  <c r="J52"/>
  <c r="J51"/>
  <c r="J50"/>
  <c r="J49"/>
  <c r="J48"/>
  <c r="J47"/>
  <c r="J46"/>
  <c r="J45"/>
  <c r="J44"/>
  <c r="J43"/>
  <c r="J69"/>
  <c r="J26"/>
  <c r="J25"/>
  <c r="R68"/>
  <c r="R65"/>
  <c r="R64"/>
  <c r="R63"/>
  <c r="R62"/>
  <c r="R61"/>
  <c r="R60"/>
  <c r="R58"/>
  <c r="R57"/>
  <c r="R56"/>
  <c r="R54"/>
  <c r="R52"/>
  <c r="R51"/>
  <c r="R50"/>
  <c r="R49"/>
  <c r="R48"/>
  <c r="R47"/>
  <c r="R46"/>
  <c r="R45"/>
  <c r="R44"/>
  <c r="R43"/>
  <c r="R69"/>
  <c r="R26"/>
  <c r="R25"/>
  <c r="Z65"/>
  <c r="Z64"/>
  <c r="Z63"/>
  <c r="Z62"/>
  <c r="Z61"/>
  <c r="Z60"/>
  <c r="Z58"/>
  <c r="Z57"/>
  <c r="Z56"/>
  <c r="Z54"/>
  <c r="Z52"/>
  <c r="Z51"/>
  <c r="Z50"/>
  <c r="Z49"/>
  <c r="Z48"/>
  <c r="Z47"/>
  <c r="Z46"/>
  <c r="Z45"/>
  <c r="Z44"/>
  <c r="Z43"/>
  <c r="Z69"/>
  <c r="Z68"/>
  <c r="Z26"/>
  <c r="Z25"/>
  <c r="H21"/>
  <c r="H65"/>
  <c r="H64"/>
  <c r="H63"/>
  <c r="H62"/>
  <c r="H61"/>
  <c r="H60"/>
  <c r="H58"/>
  <c r="H57"/>
  <c r="H56"/>
  <c r="H54"/>
  <c r="H52"/>
  <c r="H51"/>
  <c r="H50"/>
  <c r="H49"/>
  <c r="H48"/>
  <c r="H47"/>
  <c r="H46"/>
  <c r="H45"/>
  <c r="H44"/>
  <c r="H43"/>
  <c r="H69"/>
  <c r="H68"/>
  <c r="H26"/>
  <c r="H25"/>
  <c r="P67"/>
  <c r="P65"/>
  <c r="P64"/>
  <c r="P63"/>
  <c r="P62"/>
  <c r="P61"/>
  <c r="P60"/>
  <c r="P58"/>
  <c r="P57"/>
  <c r="P56"/>
  <c r="P54"/>
  <c r="P52"/>
  <c r="P51"/>
  <c r="P50"/>
  <c r="P49"/>
  <c r="P48"/>
  <c r="P47"/>
  <c r="P46"/>
  <c r="P45"/>
  <c r="P44"/>
  <c r="P43"/>
  <c r="P69"/>
  <c r="P68"/>
  <c r="P26"/>
  <c r="P25"/>
  <c r="X65"/>
  <c r="X64"/>
  <c r="X63"/>
  <c r="X62"/>
  <c r="X61"/>
  <c r="X60"/>
  <c r="X58"/>
  <c r="X57"/>
  <c r="X56"/>
  <c r="X54"/>
  <c r="X52"/>
  <c r="X51"/>
  <c r="X50"/>
  <c r="X49"/>
  <c r="X48"/>
  <c r="X47"/>
  <c r="X46"/>
  <c r="X45"/>
  <c r="X44"/>
  <c r="X43"/>
  <c r="X69"/>
  <c r="X26"/>
  <c r="X25"/>
  <c r="X68"/>
  <c r="AC47"/>
  <c r="AC61"/>
  <c r="AC63"/>
  <c r="AC67"/>
  <c r="AC69"/>
  <c r="AC48"/>
  <c r="AC50"/>
  <c r="AC58"/>
  <c r="AC60"/>
  <c r="AC64"/>
  <c r="AA76"/>
  <c r="AC76"/>
  <c r="H30"/>
  <c r="N31"/>
  <c r="R31"/>
  <c r="D12"/>
  <c r="T12"/>
  <c r="U37" i="20"/>
  <c r="V19" i="24"/>
  <c r="D22"/>
  <c r="T24"/>
  <c r="D28"/>
  <c r="T40"/>
  <c r="D38"/>
  <c r="D76"/>
  <c r="F39"/>
  <c r="F76"/>
  <c r="J32"/>
  <c r="P22"/>
  <c r="T38"/>
  <c r="V22"/>
  <c r="Z23"/>
  <c r="L12"/>
  <c r="D23"/>
  <c r="D24"/>
  <c r="D40"/>
  <c r="N23"/>
  <c r="N93"/>
  <c r="C16"/>
  <c r="C37" i="20"/>
  <c r="F19" i="24"/>
  <c r="N21"/>
  <c r="N22"/>
  <c r="F23"/>
  <c r="T28"/>
  <c r="N29"/>
  <c r="D30"/>
  <c r="D31"/>
  <c r="T34"/>
  <c r="N76"/>
  <c r="T31"/>
  <c r="E37" i="20"/>
  <c r="N19" i="24"/>
  <c r="L23"/>
  <c r="N30"/>
  <c r="T32"/>
  <c r="AA143"/>
  <c r="AC143"/>
  <c r="AH143"/>
  <c r="S37" i="20"/>
  <c r="T22" i="24"/>
  <c r="AB7"/>
  <c r="AB10"/>
  <c r="AD7"/>
  <c r="AB8"/>
  <c r="AB9"/>
  <c r="D142"/>
  <c r="D138"/>
  <c r="D135"/>
  <c r="D139"/>
  <c r="D147"/>
  <c r="D143"/>
  <c r="D140"/>
  <c r="D141"/>
  <c r="D89"/>
  <c r="D85"/>
  <c r="D82"/>
  <c r="D78"/>
  <c r="D86"/>
  <c r="D83"/>
  <c r="D81"/>
  <c r="D42"/>
  <c r="D41"/>
  <c r="D93"/>
  <c r="D90"/>
  <c r="D87"/>
  <c r="D84"/>
  <c r="D39"/>
  <c r="D91"/>
  <c r="D88"/>
  <c r="D79"/>
  <c r="D92"/>
  <c r="D80"/>
  <c r="D77"/>
  <c r="D33"/>
  <c r="D29"/>
  <c r="D19"/>
  <c r="N143"/>
  <c r="N141"/>
  <c r="N142"/>
  <c r="N138"/>
  <c r="N135"/>
  <c r="N139"/>
  <c r="N147"/>
  <c r="N140"/>
  <c r="N92"/>
  <c r="N88"/>
  <c r="N84"/>
  <c r="N81"/>
  <c r="N77"/>
  <c r="N86"/>
  <c r="N83"/>
  <c r="N82"/>
  <c r="N90"/>
  <c r="N87"/>
  <c r="N85"/>
  <c r="N42"/>
  <c r="N38"/>
  <c r="N34"/>
  <c r="N91"/>
  <c r="N89"/>
  <c r="N79"/>
  <c r="N41"/>
  <c r="N80"/>
  <c r="N78"/>
  <c r="N40"/>
  <c r="N32"/>
  <c r="N28"/>
  <c r="N24"/>
  <c r="N12"/>
  <c r="T142"/>
  <c r="T138"/>
  <c r="T135"/>
  <c r="T139"/>
  <c r="T147"/>
  <c r="T143"/>
  <c r="T140"/>
  <c r="T141"/>
  <c r="T89"/>
  <c r="T85"/>
  <c r="T82"/>
  <c r="T78"/>
  <c r="T91"/>
  <c r="T88"/>
  <c r="T79"/>
  <c r="T42"/>
  <c r="T41"/>
  <c r="T93"/>
  <c r="T92"/>
  <c r="T80"/>
  <c r="T77"/>
  <c r="T39"/>
  <c r="T86"/>
  <c r="T83"/>
  <c r="T81"/>
  <c r="T90"/>
  <c r="T87"/>
  <c r="T84"/>
  <c r="T33"/>
  <c r="T29"/>
  <c r="T19"/>
  <c r="H12"/>
  <c r="X12"/>
  <c r="Q37" i="20"/>
  <c r="H19" i="24"/>
  <c r="R19"/>
  <c r="L22"/>
  <c r="J23"/>
  <c r="T23"/>
  <c r="H24"/>
  <c r="R24"/>
  <c r="H28"/>
  <c r="R28"/>
  <c r="F29"/>
  <c r="P29"/>
  <c r="Z29"/>
  <c r="T30"/>
  <c r="F31"/>
  <c r="D32"/>
  <c r="P32"/>
  <c r="N33"/>
  <c r="P34"/>
  <c r="L38"/>
  <c r="N39"/>
  <c r="J76"/>
  <c r="R76"/>
  <c r="Z76"/>
  <c r="H147"/>
  <c r="H140"/>
  <c r="H141"/>
  <c r="H143"/>
  <c r="H142"/>
  <c r="H138"/>
  <c r="H135"/>
  <c r="H139"/>
  <c r="H91"/>
  <c r="H87"/>
  <c r="H83"/>
  <c r="H80"/>
  <c r="H92"/>
  <c r="H89"/>
  <c r="H79"/>
  <c r="H77"/>
  <c r="H41"/>
  <c r="H40"/>
  <c r="H93"/>
  <c r="H81"/>
  <c r="H78"/>
  <c r="H33"/>
  <c r="H86"/>
  <c r="H84"/>
  <c r="H82"/>
  <c r="H42"/>
  <c r="H90"/>
  <c r="H88"/>
  <c r="H85"/>
  <c r="H39"/>
  <c r="H31"/>
  <c r="H23"/>
  <c r="R143"/>
  <c r="R139"/>
  <c r="R147"/>
  <c r="R140"/>
  <c r="R141"/>
  <c r="R142"/>
  <c r="R138"/>
  <c r="R135"/>
  <c r="R90"/>
  <c r="R86"/>
  <c r="R79"/>
  <c r="R92"/>
  <c r="R89"/>
  <c r="R80"/>
  <c r="R77"/>
  <c r="R39"/>
  <c r="R83"/>
  <c r="R81"/>
  <c r="R78"/>
  <c r="R40"/>
  <c r="R32"/>
  <c r="R87"/>
  <c r="R84"/>
  <c r="R82"/>
  <c r="R41"/>
  <c r="R91"/>
  <c r="R88"/>
  <c r="R85"/>
  <c r="R42"/>
  <c r="R38"/>
  <c r="R34"/>
  <c r="R30"/>
  <c r="R22"/>
  <c r="R12"/>
  <c r="X147"/>
  <c r="X140"/>
  <c r="X141"/>
  <c r="X143"/>
  <c r="X142"/>
  <c r="X138"/>
  <c r="X135"/>
  <c r="X139"/>
  <c r="X91"/>
  <c r="X87"/>
  <c r="X83"/>
  <c r="X80"/>
  <c r="X86"/>
  <c r="X84"/>
  <c r="X82"/>
  <c r="X41"/>
  <c r="X40"/>
  <c r="X93"/>
  <c r="X90"/>
  <c r="X88"/>
  <c r="X85"/>
  <c r="X33"/>
  <c r="X92"/>
  <c r="X89"/>
  <c r="X79"/>
  <c r="X77"/>
  <c r="X42"/>
  <c r="X81"/>
  <c r="X78"/>
  <c r="X39"/>
  <c r="X31"/>
  <c r="X23"/>
  <c r="O37" i="20"/>
  <c r="P19" i="24"/>
  <c r="Z19"/>
  <c r="J21"/>
  <c r="H22"/>
  <c r="R23"/>
  <c r="P24"/>
  <c r="Z24"/>
  <c r="P28"/>
  <c r="Z28"/>
  <c r="X29"/>
  <c r="F30"/>
  <c r="P30"/>
  <c r="Z31"/>
  <c r="L32"/>
  <c r="J33"/>
  <c r="Z33"/>
  <c r="L34"/>
  <c r="H38"/>
  <c r="X38"/>
  <c r="H76"/>
  <c r="P76"/>
  <c r="X76"/>
  <c r="F93"/>
  <c r="V93"/>
  <c r="F143"/>
  <c r="F141"/>
  <c r="F142"/>
  <c r="F138"/>
  <c r="F135"/>
  <c r="F139"/>
  <c r="F147"/>
  <c r="F140"/>
  <c r="F92"/>
  <c r="F88"/>
  <c r="F84"/>
  <c r="F81"/>
  <c r="F77"/>
  <c r="F80"/>
  <c r="F78"/>
  <c r="F86"/>
  <c r="F83"/>
  <c r="F82"/>
  <c r="F42"/>
  <c r="F38"/>
  <c r="F34"/>
  <c r="F90"/>
  <c r="F87"/>
  <c r="F85"/>
  <c r="F41"/>
  <c r="F91"/>
  <c r="F89"/>
  <c r="F79"/>
  <c r="F40"/>
  <c r="F32"/>
  <c r="F28"/>
  <c r="F24"/>
  <c r="F12"/>
  <c r="L142"/>
  <c r="L138"/>
  <c r="L135"/>
  <c r="L139"/>
  <c r="L147"/>
  <c r="L143"/>
  <c r="L140"/>
  <c r="L141"/>
  <c r="L89"/>
  <c r="L85"/>
  <c r="L82"/>
  <c r="L78"/>
  <c r="L90"/>
  <c r="L87"/>
  <c r="L84"/>
  <c r="L42"/>
  <c r="L41"/>
  <c r="L93"/>
  <c r="L91"/>
  <c r="L88"/>
  <c r="L79"/>
  <c r="L39"/>
  <c r="L92"/>
  <c r="L80"/>
  <c r="L77"/>
  <c r="L86"/>
  <c r="L83"/>
  <c r="L81"/>
  <c r="L33"/>
  <c r="L29"/>
  <c r="L19"/>
  <c r="V143"/>
  <c r="V141"/>
  <c r="V142"/>
  <c r="V138"/>
  <c r="V135"/>
  <c r="V139"/>
  <c r="V147"/>
  <c r="V140"/>
  <c r="V92"/>
  <c r="V88"/>
  <c r="V84"/>
  <c r="V81"/>
  <c r="V77"/>
  <c r="V90"/>
  <c r="V87"/>
  <c r="V85"/>
  <c r="V91"/>
  <c r="V89"/>
  <c r="V79"/>
  <c r="V42"/>
  <c r="V38"/>
  <c r="V34"/>
  <c r="V80"/>
  <c r="V78"/>
  <c r="V41"/>
  <c r="V86"/>
  <c r="V83"/>
  <c r="V82"/>
  <c r="V32"/>
  <c r="V28"/>
  <c r="V24"/>
  <c r="V12"/>
  <c r="D16"/>
  <c r="P12"/>
  <c r="AA12"/>
  <c r="AB48"/>
  <c r="AA15"/>
  <c r="AC15"/>
  <c r="Y37" i="20"/>
  <c r="X19" i="24"/>
  <c r="F22"/>
  <c r="L24"/>
  <c r="X24"/>
  <c r="L28"/>
  <c r="X28"/>
  <c r="J29"/>
  <c r="V29"/>
  <c r="X30"/>
  <c r="L31"/>
  <c r="V31"/>
  <c r="X32"/>
  <c r="F33"/>
  <c r="V33"/>
  <c r="H34"/>
  <c r="X34"/>
  <c r="L40"/>
  <c r="V76"/>
  <c r="J143"/>
  <c r="J139"/>
  <c r="J147"/>
  <c r="J140"/>
  <c r="J141"/>
  <c r="J142"/>
  <c r="J138"/>
  <c r="J135"/>
  <c r="J90"/>
  <c r="J86"/>
  <c r="J79"/>
  <c r="J91"/>
  <c r="J88"/>
  <c r="J85"/>
  <c r="J39"/>
  <c r="J92"/>
  <c r="J89"/>
  <c r="J80"/>
  <c r="J77"/>
  <c r="J40"/>
  <c r="J83"/>
  <c r="J81"/>
  <c r="J78"/>
  <c r="J41"/>
  <c r="J87"/>
  <c r="J84"/>
  <c r="J82"/>
  <c r="J42"/>
  <c r="J38"/>
  <c r="J34"/>
  <c r="J30"/>
  <c r="J22"/>
  <c r="J12"/>
  <c r="P147"/>
  <c r="P140"/>
  <c r="P141"/>
  <c r="P143"/>
  <c r="P142"/>
  <c r="P138"/>
  <c r="P135"/>
  <c r="P139"/>
  <c r="P91"/>
  <c r="P87"/>
  <c r="P83"/>
  <c r="P80"/>
  <c r="P81"/>
  <c r="P78"/>
  <c r="P41"/>
  <c r="P93"/>
  <c r="P86"/>
  <c r="P84"/>
  <c r="P82"/>
  <c r="P33"/>
  <c r="P90"/>
  <c r="P88"/>
  <c r="P85"/>
  <c r="P42"/>
  <c r="P92"/>
  <c r="P89"/>
  <c r="P79"/>
  <c r="P77"/>
  <c r="P39"/>
  <c r="P31"/>
  <c r="P23"/>
  <c r="Z143"/>
  <c r="Z139"/>
  <c r="Z147"/>
  <c r="Z140"/>
  <c r="Z141"/>
  <c r="Z142"/>
  <c r="Z138"/>
  <c r="Z135"/>
  <c r="Z90"/>
  <c r="Z86"/>
  <c r="Z79"/>
  <c r="Z83"/>
  <c r="Z81"/>
  <c r="Z78"/>
  <c r="Z39"/>
  <c r="Z87"/>
  <c r="Z84"/>
  <c r="Z82"/>
  <c r="Z40"/>
  <c r="Z32"/>
  <c r="Z91"/>
  <c r="Z88"/>
  <c r="Z85"/>
  <c r="Z41"/>
  <c r="Z92"/>
  <c r="Z89"/>
  <c r="Z80"/>
  <c r="Z77"/>
  <c r="Z42"/>
  <c r="Z38"/>
  <c r="Z34"/>
  <c r="Z30"/>
  <c r="Z22"/>
  <c r="Z12"/>
  <c r="AH12"/>
  <c r="W37" i="20"/>
  <c r="J19" i="24"/>
  <c r="X22"/>
  <c r="J24"/>
  <c r="J28"/>
  <c r="H29"/>
  <c r="R29"/>
  <c r="L30"/>
  <c r="V30"/>
  <c r="J31"/>
  <c r="H32"/>
  <c r="R33"/>
  <c r="P38"/>
  <c r="V39"/>
  <c r="L76"/>
  <c r="J93"/>
  <c r="Z93"/>
  <c r="AA41"/>
  <c r="AC41"/>
  <c r="AH41"/>
  <c r="R93"/>
  <c r="AA93"/>
  <c r="AC93"/>
  <c r="AA37" i="20"/>
  <c r="P27" i="24"/>
  <c r="X125"/>
  <c r="R27"/>
  <c r="P21"/>
  <c r="V16"/>
  <c r="V27"/>
  <c r="V125"/>
  <c r="Z27"/>
  <c r="Z125"/>
  <c r="T16"/>
  <c r="T125"/>
  <c r="V40"/>
  <c r="N16"/>
  <c r="N27"/>
  <c r="L27"/>
  <c r="J27"/>
  <c r="AB40"/>
  <c r="H27"/>
  <c r="AB60"/>
  <c r="F16"/>
  <c r="F27"/>
  <c r="AB142"/>
  <c r="AB108"/>
  <c r="AB111"/>
  <c r="AB109"/>
  <c r="AB110"/>
  <c r="AB104"/>
  <c r="AB105"/>
  <c r="AB99"/>
  <c r="AB101"/>
  <c r="AB102"/>
  <c r="AB96"/>
  <c r="AB112"/>
  <c r="AB97"/>
  <c r="AB113"/>
  <c r="AB98"/>
  <c r="AB114"/>
  <c r="AB115"/>
  <c r="AB107"/>
  <c r="AB103"/>
  <c r="AB106"/>
  <c r="AB94"/>
  <c r="AB100"/>
  <c r="AB95"/>
  <c r="AB137"/>
  <c r="AB84"/>
  <c r="AB87"/>
  <c r="AB42"/>
  <c r="D27"/>
  <c r="AB140"/>
  <c r="AB120"/>
  <c r="AB44"/>
  <c r="AB58"/>
  <c r="AC12"/>
  <c r="AB135"/>
  <c r="AB124"/>
  <c r="AB92"/>
  <c r="AB64"/>
  <c r="F35"/>
  <c r="H35"/>
  <c r="AH17"/>
  <c r="AB143"/>
  <c r="AB24"/>
  <c r="AB73"/>
  <c r="AB71"/>
  <c r="AB75"/>
  <c r="AB72"/>
  <c r="AB70"/>
  <c r="V21"/>
  <c r="AB132"/>
  <c r="AB80"/>
  <c r="AB90"/>
  <c r="AB52"/>
  <c r="AB50"/>
  <c r="AD8"/>
  <c r="AB147"/>
  <c r="AB138"/>
  <c r="AB126"/>
  <c r="AB77"/>
  <c r="AB118"/>
  <c r="AB81"/>
  <c r="AB116"/>
  <c r="AB88"/>
  <c r="AB56"/>
  <c r="AB66"/>
  <c r="AB46"/>
  <c r="AB23"/>
  <c r="AD11"/>
  <c r="AD9"/>
  <c r="AB54"/>
  <c r="AB28"/>
  <c r="AB34"/>
  <c r="AB32"/>
  <c r="AB62"/>
  <c r="AB38"/>
  <c r="AB30"/>
  <c r="AB76"/>
  <c r="H16"/>
  <c r="AB141"/>
  <c r="AB121"/>
  <c r="AB139"/>
  <c r="AB136"/>
  <c r="AB127"/>
  <c r="AB91"/>
  <c r="AB85"/>
  <c r="AB79"/>
  <c r="AB67"/>
  <c r="AB65"/>
  <c r="AB61"/>
  <c r="AB57"/>
  <c r="AB53"/>
  <c r="AB49"/>
  <c r="AB45"/>
  <c r="AB89"/>
  <c r="AB86"/>
  <c r="AB83"/>
  <c r="AB78"/>
  <c r="AB69"/>
  <c r="AB63"/>
  <c r="AB59"/>
  <c r="AB55"/>
  <c r="AB51"/>
  <c r="AB47"/>
  <c r="AB43"/>
  <c r="AB119"/>
  <c r="AB117"/>
  <c r="AB82"/>
  <c r="AB33"/>
  <c r="AB31"/>
  <c r="AB19"/>
  <c r="AB29"/>
  <c r="AB25"/>
  <c r="AB39"/>
  <c r="AB22"/>
  <c r="AB12"/>
  <c r="AA16"/>
  <c r="AC16"/>
  <c r="T53"/>
  <c r="P40"/>
  <c r="P16"/>
  <c r="AA17"/>
  <c r="AC17"/>
  <c r="AB68"/>
  <c r="AB26"/>
  <c r="X16"/>
  <c r="Z35"/>
  <c r="L16"/>
  <c r="AB41"/>
  <c r="J16"/>
  <c r="R16"/>
  <c r="AH16"/>
  <c r="AB93"/>
  <c r="Z16"/>
  <c r="V53"/>
  <c r="T27"/>
  <c r="T35"/>
  <c r="R125"/>
  <c r="AH125"/>
  <c r="P125"/>
  <c r="X27"/>
  <c r="X35"/>
  <c r="Q38" i="20"/>
  <c r="AH27" i="24"/>
  <c r="N35"/>
  <c r="N125"/>
  <c r="L125"/>
  <c r="J125"/>
  <c r="H36"/>
  <c r="H125"/>
  <c r="F125"/>
  <c r="C35"/>
  <c r="D35"/>
  <c r="AA27"/>
  <c r="AC27"/>
  <c r="AD27"/>
  <c r="AD105"/>
  <c r="AD99"/>
  <c r="AD97"/>
  <c r="AD94"/>
  <c r="AD102"/>
  <c r="AD115"/>
  <c r="AD100"/>
  <c r="AD101"/>
  <c r="AD107"/>
  <c r="AD109"/>
  <c r="AD96"/>
  <c r="AD112"/>
  <c r="AD111"/>
  <c r="AD95"/>
  <c r="AD113"/>
  <c r="AD114"/>
  <c r="AD98"/>
  <c r="AD103"/>
  <c r="AD106"/>
  <c r="AD104"/>
  <c r="AD108"/>
  <c r="AD110"/>
  <c r="D125"/>
  <c r="C128"/>
  <c r="AD93"/>
  <c r="H37"/>
  <c r="J35"/>
  <c r="L35"/>
  <c r="AH21"/>
  <c r="R21"/>
  <c r="AD143"/>
  <c r="AD75"/>
  <c r="AD72"/>
  <c r="AD70"/>
  <c r="AD73"/>
  <c r="AD71"/>
  <c r="AA125"/>
  <c r="AA128"/>
  <c r="AC128"/>
  <c r="AD41"/>
  <c r="AD126"/>
  <c r="AB16"/>
  <c r="AD16"/>
  <c r="V128"/>
  <c r="Z53"/>
  <c r="AA21"/>
  <c r="AC21"/>
  <c r="AD17"/>
  <c r="AB17"/>
  <c r="T128"/>
  <c r="S39" i="20"/>
  <c r="X53" i="24"/>
  <c r="AD141"/>
  <c r="AD121"/>
  <c r="AD78"/>
  <c r="AD117"/>
  <c r="AD91"/>
  <c r="AD85"/>
  <c r="AD80"/>
  <c r="AD67"/>
  <c r="AD65"/>
  <c r="AD61"/>
  <c r="AD57"/>
  <c r="AD53"/>
  <c r="AD49"/>
  <c r="AD45"/>
  <c r="AD12"/>
  <c r="AD31"/>
  <c r="AD33"/>
  <c r="AD19"/>
  <c r="AD23"/>
  <c r="AD32"/>
  <c r="AD24"/>
  <c r="AD92"/>
  <c r="AD50"/>
  <c r="AD60"/>
  <c r="AD88"/>
  <c r="AD38"/>
  <c r="AD48"/>
  <c r="AD59"/>
  <c r="AD139"/>
  <c r="AD118"/>
  <c r="AD135"/>
  <c r="AD30"/>
  <c r="AD34"/>
  <c r="AD22"/>
  <c r="AD90"/>
  <c r="AD47"/>
  <c r="AD58"/>
  <c r="AD69"/>
  <c r="AD83"/>
  <c r="AD89"/>
  <c r="AD46"/>
  <c r="AD56"/>
  <c r="AD68"/>
  <c r="AD119"/>
  <c r="AD116"/>
  <c r="AD140"/>
  <c r="AD147"/>
  <c r="AD29"/>
  <c r="AD26"/>
  <c r="AD87"/>
  <c r="AD44"/>
  <c r="AD55"/>
  <c r="AD66"/>
  <c r="AD86"/>
  <c r="AD43"/>
  <c r="AD54"/>
  <c r="AD64"/>
  <c r="AD84"/>
  <c r="AD79"/>
  <c r="AD124"/>
  <c r="AD138"/>
  <c r="AD28"/>
  <c r="AD25"/>
  <c r="AD40"/>
  <c r="AD82"/>
  <c r="AD42"/>
  <c r="AD52"/>
  <c r="AD63"/>
  <c r="AD39"/>
  <c r="AD77"/>
  <c r="AD51"/>
  <c r="AD62"/>
  <c r="AD81"/>
  <c r="AD142"/>
  <c r="AD127"/>
  <c r="AD137"/>
  <c r="AD120"/>
  <c r="AD132"/>
  <c r="AD136"/>
  <c r="AD76"/>
  <c r="V35"/>
  <c r="U38" i="20"/>
  <c r="W38"/>
  <c r="X21" i="24"/>
  <c r="Z21"/>
  <c r="Y38" i="20"/>
  <c r="S38"/>
  <c r="T21" i="24"/>
  <c r="AA5" i="21"/>
  <c r="AA116"/>
  <c r="AC116"/>
  <c r="AA77"/>
  <c r="AC77"/>
  <c r="AA78"/>
  <c r="AA79"/>
  <c r="AC79"/>
  <c r="AA80"/>
  <c r="AA81"/>
  <c r="AA82"/>
  <c r="AC82"/>
  <c r="AA83"/>
  <c r="AA84"/>
  <c r="AA85"/>
  <c r="AC85"/>
  <c r="AA86"/>
  <c r="AA87"/>
  <c r="AA88"/>
  <c r="AC88"/>
  <c r="AA89"/>
  <c r="AC89"/>
  <c r="AA90"/>
  <c r="AC90"/>
  <c r="AA91"/>
  <c r="AC91"/>
  <c r="AA92"/>
  <c r="AC92"/>
  <c r="AA42"/>
  <c r="AC42"/>
  <c r="AA43"/>
  <c r="AC43"/>
  <c r="AA44"/>
  <c r="AC44"/>
  <c r="AA45"/>
  <c r="AC45"/>
  <c r="AA46"/>
  <c r="AC46"/>
  <c r="AA47"/>
  <c r="AC47"/>
  <c r="AA48"/>
  <c r="AA49"/>
  <c r="AA50"/>
  <c r="AA51"/>
  <c r="AC51"/>
  <c r="AA52"/>
  <c r="AC52"/>
  <c r="AA53"/>
  <c r="AC53"/>
  <c r="AA54"/>
  <c r="AA55"/>
  <c r="AC55"/>
  <c r="AA56"/>
  <c r="AC56"/>
  <c r="AA57"/>
  <c r="AC57"/>
  <c r="AA58"/>
  <c r="AA59"/>
  <c r="AC59"/>
  <c r="AA60"/>
  <c r="AA61"/>
  <c r="AA62"/>
  <c r="AC62"/>
  <c r="AA63"/>
  <c r="AC63"/>
  <c r="AA64"/>
  <c r="AC64"/>
  <c r="AA65"/>
  <c r="AC65"/>
  <c r="AA66"/>
  <c r="AC66"/>
  <c r="AA67"/>
  <c r="AC67"/>
  <c r="AA68"/>
  <c r="AC68"/>
  <c r="AH35" i="24"/>
  <c r="R35"/>
  <c r="V144"/>
  <c r="U39" i="20"/>
  <c r="AC81" i="21"/>
  <c r="AC86"/>
  <c r="AC78"/>
  <c r="AC87"/>
  <c r="AC83"/>
  <c r="AC84"/>
  <c r="AC80"/>
  <c r="AC58"/>
  <c r="AC54"/>
  <c r="AC50"/>
  <c r="AC60"/>
  <c r="AC61"/>
  <c r="AC49"/>
  <c r="P35" i="24"/>
  <c r="AC48" i="21"/>
  <c r="R53" i="24"/>
  <c r="AH128"/>
  <c r="Q39" i="20"/>
  <c r="R128" i="24"/>
  <c r="P53"/>
  <c r="P128"/>
  <c r="O39" i="20"/>
  <c r="N128" i="24"/>
  <c r="N53"/>
  <c r="L144"/>
  <c r="L128"/>
  <c r="L53"/>
  <c r="J53"/>
  <c r="J128"/>
  <c r="J144"/>
  <c r="H53"/>
  <c r="H128"/>
  <c r="H144"/>
  <c r="F53"/>
  <c r="F144"/>
  <c r="F128"/>
  <c r="C36"/>
  <c r="AA35"/>
  <c r="AC35"/>
  <c r="AD35"/>
  <c r="AB27"/>
  <c r="C144"/>
  <c r="D53"/>
  <c r="D128"/>
  <c r="H55"/>
  <c r="AC5" i="21"/>
  <c r="AF5"/>
  <c r="AC125" i="24"/>
  <c r="AD125"/>
  <c r="AH36"/>
  <c r="R36"/>
  <c r="F36"/>
  <c r="J36"/>
  <c r="L36"/>
  <c r="AA76" i="21"/>
  <c r="AC76"/>
  <c r="AB125" i="24"/>
  <c r="V36"/>
  <c r="AB21"/>
  <c r="AD21"/>
  <c r="Z128"/>
  <c r="X36"/>
  <c r="X128"/>
  <c r="T144"/>
  <c r="T36"/>
  <c r="Z36"/>
  <c r="AD128"/>
  <c r="AB128"/>
  <c r="AA144"/>
  <c r="AC144"/>
  <c r="AA149" i="21"/>
  <c r="AA147"/>
  <c r="O32" i="20"/>
  <c r="C143" i="21"/>
  <c r="C32" i="20"/>
  <c r="AA142" i="21"/>
  <c r="AA141"/>
  <c r="AA140"/>
  <c r="AA139"/>
  <c r="AA138"/>
  <c r="AC138"/>
  <c r="AA137"/>
  <c r="AA136"/>
  <c r="AA135"/>
  <c r="AA132"/>
  <c r="AA127"/>
  <c r="AC127"/>
  <c r="AA126"/>
  <c r="AC126"/>
  <c r="AC124"/>
  <c r="AC123"/>
  <c r="AC122"/>
  <c r="AC121"/>
  <c r="AC120"/>
  <c r="AC119"/>
  <c r="AA118"/>
  <c r="AC118"/>
  <c r="AA117"/>
  <c r="AC117"/>
  <c r="O33" i="20"/>
  <c r="C93" i="21"/>
  <c r="AE82"/>
  <c r="AH76"/>
  <c r="AH41"/>
  <c r="C41"/>
  <c r="AA40"/>
  <c r="AA39"/>
  <c r="AA38"/>
  <c r="AA34"/>
  <c r="AA33"/>
  <c r="AA32"/>
  <c r="AA31"/>
  <c r="AA30"/>
  <c r="AA29"/>
  <c r="AA28"/>
  <c r="AC28"/>
  <c r="AA26"/>
  <c r="AA25"/>
  <c r="AC25"/>
  <c r="AA24"/>
  <c r="AA23"/>
  <c r="AA22"/>
  <c r="AA20"/>
  <c r="AA19"/>
  <c r="AC19"/>
  <c r="AA18"/>
  <c r="AC18"/>
  <c r="AH15"/>
  <c r="C15"/>
  <c r="AA14"/>
  <c r="AA13"/>
  <c r="N17"/>
  <c r="L17"/>
  <c r="J17"/>
  <c r="H17"/>
  <c r="F17"/>
  <c r="C12"/>
  <c r="AA11"/>
  <c r="AC11"/>
  <c r="R11"/>
  <c r="N11"/>
  <c r="L11"/>
  <c r="J11"/>
  <c r="H11"/>
  <c r="F11"/>
  <c r="D11"/>
  <c r="AA10"/>
  <c r="AC10"/>
  <c r="N10"/>
  <c r="L10"/>
  <c r="J10"/>
  <c r="D10"/>
  <c r="AA9"/>
  <c r="AC9"/>
  <c r="AA8"/>
  <c r="AC8"/>
  <c r="R8"/>
  <c r="N8"/>
  <c r="L8"/>
  <c r="J8"/>
  <c r="H8"/>
  <c r="F8"/>
  <c r="D8"/>
  <c r="AA7"/>
  <c r="AC7"/>
  <c r="N7"/>
  <c r="L7"/>
  <c r="J7"/>
  <c r="H7"/>
  <c r="F7"/>
  <c r="D7"/>
  <c r="AA6"/>
  <c r="R10"/>
  <c r="P7"/>
  <c r="W76" i="1"/>
  <c r="Y76"/>
  <c r="D144" i="24"/>
  <c r="C39" i="20"/>
  <c r="D36" i="24"/>
  <c r="C38" i="20"/>
  <c r="AC24" i="21"/>
  <c r="AC29"/>
  <c r="AC33"/>
  <c r="AC40"/>
  <c r="AC135"/>
  <c r="AC139"/>
  <c r="AC149"/>
  <c r="AC14"/>
  <c r="AC23"/>
  <c r="AC32"/>
  <c r="AC39"/>
  <c r="AC132"/>
  <c r="AC142"/>
  <c r="AC147"/>
  <c r="AC13"/>
  <c r="AC22"/>
  <c r="AC31"/>
  <c r="AC38"/>
  <c r="AC141"/>
  <c r="AC20"/>
  <c r="AC30"/>
  <c r="AC34"/>
  <c r="AC140"/>
  <c r="C33" i="20"/>
  <c r="O38"/>
  <c r="P36" i="24"/>
  <c r="Z144"/>
  <c r="Y39" i="20"/>
  <c r="X144" i="24"/>
  <c r="W39" i="20"/>
  <c r="Y33"/>
  <c r="W33"/>
  <c r="U33"/>
  <c r="S33"/>
  <c r="AH93" i="21"/>
  <c r="Q33" i="20"/>
  <c r="AC26" i="21"/>
  <c r="AC6"/>
  <c r="Y32" i="20"/>
  <c r="W32"/>
  <c r="U32"/>
  <c r="S32"/>
  <c r="AH143" i="21"/>
  <c r="Q32" i="20"/>
  <c r="M38"/>
  <c r="N144" i="24"/>
  <c r="M39" i="20"/>
  <c r="P144" i="24"/>
  <c r="AH144"/>
  <c r="R144"/>
  <c r="D17" i="21"/>
  <c r="D74"/>
  <c r="U76" i="1"/>
  <c r="N36" i="24"/>
  <c r="C37"/>
  <c r="C130"/>
  <c r="C134"/>
  <c r="AA36"/>
  <c r="AC36"/>
  <c r="AD36"/>
  <c r="AB35"/>
  <c r="X73" i="21"/>
  <c r="X114"/>
  <c r="X113"/>
  <c r="X111"/>
  <c r="X110"/>
  <c r="X109"/>
  <c r="X108"/>
  <c r="X106"/>
  <c r="X103"/>
  <c r="X102"/>
  <c r="X101"/>
  <c r="X105"/>
  <c r="X104"/>
  <c r="X99"/>
  <c r="X98"/>
  <c r="X97"/>
  <c r="X96"/>
  <c r="X95"/>
  <c r="X94"/>
  <c r="X107"/>
  <c r="X100"/>
  <c r="X112"/>
  <c r="X115"/>
  <c r="X72"/>
  <c r="X71"/>
  <c r="X66"/>
  <c r="X70"/>
  <c r="X75"/>
  <c r="V73"/>
  <c r="V113"/>
  <c r="V110"/>
  <c r="V108"/>
  <c r="V107"/>
  <c r="V104"/>
  <c r="V103"/>
  <c r="V99"/>
  <c r="V97"/>
  <c r="V95"/>
  <c r="V114"/>
  <c r="V111"/>
  <c r="V109"/>
  <c r="V105"/>
  <c r="V101"/>
  <c r="V100"/>
  <c r="V98"/>
  <c r="V96"/>
  <c r="V94"/>
  <c r="V112"/>
  <c r="V106"/>
  <c r="V102"/>
  <c r="V115"/>
  <c r="V72"/>
  <c r="V71"/>
  <c r="V70"/>
  <c r="V66"/>
  <c r="V75"/>
  <c r="R73"/>
  <c r="R113"/>
  <c r="R110"/>
  <c r="R108"/>
  <c r="R104"/>
  <c r="R103"/>
  <c r="R101"/>
  <c r="R99"/>
  <c r="R97"/>
  <c r="R95"/>
  <c r="R114"/>
  <c r="R111"/>
  <c r="R109"/>
  <c r="R107"/>
  <c r="R105"/>
  <c r="R100"/>
  <c r="R98"/>
  <c r="R96"/>
  <c r="R94"/>
  <c r="R106"/>
  <c r="R102"/>
  <c r="R112"/>
  <c r="R115"/>
  <c r="R72"/>
  <c r="R66"/>
  <c r="R71"/>
  <c r="R75"/>
  <c r="R70"/>
  <c r="N73"/>
  <c r="N113"/>
  <c r="N111"/>
  <c r="N109"/>
  <c r="N105"/>
  <c r="N101"/>
  <c r="N100"/>
  <c r="N98"/>
  <c r="N96"/>
  <c r="N94"/>
  <c r="N114"/>
  <c r="N110"/>
  <c r="N108"/>
  <c r="N107"/>
  <c r="N104"/>
  <c r="N103"/>
  <c r="N99"/>
  <c r="N97"/>
  <c r="N95"/>
  <c r="N106"/>
  <c r="N102"/>
  <c r="N112"/>
  <c r="N115"/>
  <c r="N72"/>
  <c r="N71"/>
  <c r="N70"/>
  <c r="N66"/>
  <c r="N75"/>
  <c r="L73"/>
  <c r="L114"/>
  <c r="L113"/>
  <c r="L111"/>
  <c r="L110"/>
  <c r="L109"/>
  <c r="L108"/>
  <c r="L106"/>
  <c r="L103"/>
  <c r="L112"/>
  <c r="L105"/>
  <c r="L104"/>
  <c r="L102"/>
  <c r="L101"/>
  <c r="L99"/>
  <c r="L98"/>
  <c r="L97"/>
  <c r="L96"/>
  <c r="L95"/>
  <c r="L94"/>
  <c r="L107"/>
  <c r="L100"/>
  <c r="L115"/>
  <c r="L72"/>
  <c r="L71"/>
  <c r="L70"/>
  <c r="L66"/>
  <c r="L75"/>
  <c r="J73"/>
  <c r="J113"/>
  <c r="J111"/>
  <c r="J109"/>
  <c r="J107"/>
  <c r="J106"/>
  <c r="J104"/>
  <c r="J103"/>
  <c r="J100"/>
  <c r="J98"/>
  <c r="J96"/>
  <c r="J94"/>
  <c r="J114"/>
  <c r="J112"/>
  <c r="J110"/>
  <c r="J108"/>
  <c r="J105"/>
  <c r="J102"/>
  <c r="J101"/>
  <c r="J99"/>
  <c r="J97"/>
  <c r="J95"/>
  <c r="J115"/>
  <c r="J72"/>
  <c r="J66"/>
  <c r="J71"/>
  <c r="J75"/>
  <c r="J70"/>
  <c r="H73"/>
  <c r="H114"/>
  <c r="H113"/>
  <c r="H103"/>
  <c r="H101"/>
  <c r="H111"/>
  <c r="H110"/>
  <c r="H109"/>
  <c r="H108"/>
  <c r="H106"/>
  <c r="H105"/>
  <c r="H104"/>
  <c r="H99"/>
  <c r="H98"/>
  <c r="H97"/>
  <c r="H96"/>
  <c r="H95"/>
  <c r="H94"/>
  <c r="H102"/>
  <c r="H112"/>
  <c r="H100"/>
  <c r="H107"/>
  <c r="H115"/>
  <c r="H136"/>
  <c r="H137"/>
  <c r="H72"/>
  <c r="H71"/>
  <c r="H66"/>
  <c r="H70"/>
  <c r="H75"/>
  <c r="F73"/>
  <c r="F113"/>
  <c r="F110"/>
  <c r="F108"/>
  <c r="F107"/>
  <c r="F105"/>
  <c r="F102"/>
  <c r="F98"/>
  <c r="F96"/>
  <c r="F94"/>
  <c r="F114"/>
  <c r="F112"/>
  <c r="F111"/>
  <c r="F109"/>
  <c r="F104"/>
  <c r="F103"/>
  <c r="F101"/>
  <c r="F99"/>
  <c r="F97"/>
  <c r="F95"/>
  <c r="F100"/>
  <c r="F106"/>
  <c r="F115"/>
  <c r="F72"/>
  <c r="F71"/>
  <c r="F70"/>
  <c r="F66"/>
  <c r="F75"/>
  <c r="D73"/>
  <c r="D114"/>
  <c r="D113"/>
  <c r="D106"/>
  <c r="D105"/>
  <c r="D104"/>
  <c r="D101"/>
  <c r="D100"/>
  <c r="D99"/>
  <c r="D98"/>
  <c r="D97"/>
  <c r="D96"/>
  <c r="D95"/>
  <c r="D94"/>
  <c r="D112"/>
  <c r="D111"/>
  <c r="D110"/>
  <c r="D109"/>
  <c r="D108"/>
  <c r="D107"/>
  <c r="D103"/>
  <c r="D102"/>
  <c r="D115"/>
  <c r="D71"/>
  <c r="D70"/>
  <c r="D66"/>
  <c r="D72"/>
  <c r="D75"/>
  <c r="Y76" i="19"/>
  <c r="W76"/>
  <c r="H59" i="24"/>
  <c r="H130"/>
  <c r="AC137" i="21"/>
  <c r="AC136"/>
  <c r="J37" i="24"/>
  <c r="R37"/>
  <c r="AH37"/>
  <c r="P37"/>
  <c r="L37"/>
  <c r="N55"/>
  <c r="N130"/>
  <c r="F37"/>
  <c r="X122" i="21"/>
  <c r="X123"/>
  <c r="X43"/>
  <c r="X124"/>
  <c r="X46"/>
  <c r="X68"/>
  <c r="V122"/>
  <c r="V123"/>
  <c r="V124"/>
  <c r="V46"/>
  <c r="V68"/>
  <c r="R123"/>
  <c r="R124"/>
  <c r="AH17"/>
  <c r="R122"/>
  <c r="R46"/>
  <c r="R68"/>
  <c r="N122"/>
  <c r="N123"/>
  <c r="N124"/>
  <c r="N21"/>
  <c r="N46"/>
  <c r="N68"/>
  <c r="L46"/>
  <c r="L122"/>
  <c r="L123"/>
  <c r="L124"/>
  <c r="L68"/>
  <c r="J124"/>
  <c r="J122"/>
  <c r="J123"/>
  <c r="J62"/>
  <c r="J46"/>
  <c r="J68"/>
  <c r="H123"/>
  <c r="H124"/>
  <c r="H21"/>
  <c r="H122"/>
  <c r="H68"/>
  <c r="H46"/>
  <c r="F122"/>
  <c r="F123"/>
  <c r="F124"/>
  <c r="F46"/>
  <c r="F62"/>
  <c r="F68"/>
  <c r="D122"/>
  <c r="D123"/>
  <c r="C21"/>
  <c r="D21"/>
  <c r="D68"/>
  <c r="D46"/>
  <c r="X76"/>
  <c r="V76"/>
  <c r="R76"/>
  <c r="AH12"/>
  <c r="N19"/>
  <c r="N76"/>
  <c r="L76"/>
  <c r="J24"/>
  <c r="J76"/>
  <c r="J22"/>
  <c r="J25"/>
  <c r="J26"/>
  <c r="J12"/>
  <c r="H76"/>
  <c r="H29"/>
  <c r="F12"/>
  <c r="F76"/>
  <c r="D40"/>
  <c r="D76"/>
  <c r="AD144" i="24"/>
  <c r="AB144"/>
  <c r="T55"/>
  <c r="T37"/>
  <c r="V55"/>
  <c r="V37"/>
  <c r="Z55"/>
  <c r="Z37"/>
  <c r="X55"/>
  <c r="X37"/>
  <c r="R12" i="21"/>
  <c r="M28" i="20"/>
  <c r="AA143" i="21"/>
  <c r="AC143"/>
  <c r="J23"/>
  <c r="H19"/>
  <c r="H28"/>
  <c r="C16"/>
  <c r="D31"/>
  <c r="D33"/>
  <c r="D39"/>
  <c r="D30"/>
  <c r="D32"/>
  <c r="D34"/>
  <c r="D38"/>
  <c r="V147"/>
  <c r="V142"/>
  <c r="V141"/>
  <c r="V140"/>
  <c r="V139"/>
  <c r="V138"/>
  <c r="V137"/>
  <c r="V121"/>
  <c r="V120"/>
  <c r="V119"/>
  <c r="V118"/>
  <c r="V117"/>
  <c r="V116"/>
  <c r="V136"/>
  <c r="V135"/>
  <c r="V127"/>
  <c r="V126"/>
  <c r="V92"/>
  <c r="V91"/>
  <c r="V90"/>
  <c r="V89"/>
  <c r="V88"/>
  <c r="V87"/>
  <c r="V86"/>
  <c r="V85"/>
  <c r="V84"/>
  <c r="V83"/>
  <c r="V82"/>
  <c r="V81"/>
  <c r="V42"/>
  <c r="V39"/>
  <c r="V38"/>
  <c r="V34"/>
  <c r="V33"/>
  <c r="V32"/>
  <c r="V31"/>
  <c r="V30"/>
  <c r="V29"/>
  <c r="V28"/>
  <c r="V80"/>
  <c r="V79"/>
  <c r="V78"/>
  <c r="V77"/>
  <c r="V69"/>
  <c r="V65"/>
  <c r="V64"/>
  <c r="V63"/>
  <c r="V62"/>
  <c r="V61"/>
  <c r="V60"/>
  <c r="V58"/>
  <c r="V57"/>
  <c r="V56"/>
  <c r="V54"/>
  <c r="V52"/>
  <c r="V51"/>
  <c r="V50"/>
  <c r="V49"/>
  <c r="V48"/>
  <c r="V47"/>
  <c r="V45"/>
  <c r="V44"/>
  <c r="V26"/>
  <c r="V25"/>
  <c r="V24"/>
  <c r="V23"/>
  <c r="V22"/>
  <c r="V19"/>
  <c r="V12"/>
  <c r="T11"/>
  <c r="T10"/>
  <c r="T7"/>
  <c r="T8"/>
  <c r="X143"/>
  <c r="X136"/>
  <c r="X135"/>
  <c r="X127"/>
  <c r="X126"/>
  <c r="X147"/>
  <c r="X142"/>
  <c r="X141"/>
  <c r="X140"/>
  <c r="X139"/>
  <c r="X138"/>
  <c r="X137"/>
  <c r="X121"/>
  <c r="X120"/>
  <c r="X119"/>
  <c r="X118"/>
  <c r="X117"/>
  <c r="X116"/>
  <c r="X82"/>
  <c r="X81"/>
  <c r="X80"/>
  <c r="X79"/>
  <c r="X78"/>
  <c r="X77"/>
  <c r="X69"/>
  <c r="X65"/>
  <c r="X64"/>
  <c r="X63"/>
  <c r="X62"/>
  <c r="X61"/>
  <c r="X60"/>
  <c r="X58"/>
  <c r="X57"/>
  <c r="X56"/>
  <c r="X54"/>
  <c r="X52"/>
  <c r="X51"/>
  <c r="X50"/>
  <c r="X49"/>
  <c r="X48"/>
  <c r="X47"/>
  <c r="X45"/>
  <c r="X44"/>
  <c r="X87"/>
  <c r="X86"/>
  <c r="X85"/>
  <c r="X84"/>
  <c r="X83"/>
  <c r="X42"/>
  <c r="X40"/>
  <c r="X39"/>
  <c r="X38"/>
  <c r="X34"/>
  <c r="X33"/>
  <c r="X32"/>
  <c r="X31"/>
  <c r="X30"/>
  <c r="X29"/>
  <c r="X92"/>
  <c r="X91"/>
  <c r="X90"/>
  <c r="X89"/>
  <c r="X88"/>
  <c r="X12"/>
  <c r="X28"/>
  <c r="X26"/>
  <c r="X25"/>
  <c r="X24"/>
  <c r="X23"/>
  <c r="X22"/>
  <c r="X19"/>
  <c r="F147"/>
  <c r="F142"/>
  <c r="F141"/>
  <c r="F140"/>
  <c r="F139"/>
  <c r="F138"/>
  <c r="F137"/>
  <c r="F121"/>
  <c r="F120"/>
  <c r="F119"/>
  <c r="F118"/>
  <c r="F117"/>
  <c r="F116"/>
  <c r="F136"/>
  <c r="F135"/>
  <c r="F127"/>
  <c r="F126"/>
  <c r="F92"/>
  <c r="F91"/>
  <c r="F90"/>
  <c r="F89"/>
  <c r="F88"/>
  <c r="F87"/>
  <c r="F86"/>
  <c r="F85"/>
  <c r="F84"/>
  <c r="F83"/>
  <c r="F43"/>
  <c r="F42"/>
  <c r="F40"/>
  <c r="F39"/>
  <c r="F38"/>
  <c r="F34"/>
  <c r="F33"/>
  <c r="F32"/>
  <c r="F31"/>
  <c r="F30"/>
  <c r="F29"/>
  <c r="F82"/>
  <c r="F81"/>
  <c r="F80"/>
  <c r="F79"/>
  <c r="F78"/>
  <c r="F77"/>
  <c r="F69"/>
  <c r="F65"/>
  <c r="F64"/>
  <c r="F63"/>
  <c r="F61"/>
  <c r="F60"/>
  <c r="F58"/>
  <c r="F57"/>
  <c r="F56"/>
  <c r="F54"/>
  <c r="F52"/>
  <c r="F51"/>
  <c r="F50"/>
  <c r="F49"/>
  <c r="F48"/>
  <c r="F47"/>
  <c r="F45"/>
  <c r="F44"/>
  <c r="F26"/>
  <c r="F25"/>
  <c r="F24"/>
  <c r="F23"/>
  <c r="F22"/>
  <c r="D143"/>
  <c r="D124"/>
  <c r="D121"/>
  <c r="D120"/>
  <c r="D119"/>
  <c r="D118"/>
  <c r="D117"/>
  <c r="D116"/>
  <c r="D136"/>
  <c r="D135"/>
  <c r="D127"/>
  <c r="D126"/>
  <c r="D147"/>
  <c r="D142"/>
  <c r="D141"/>
  <c r="D140"/>
  <c r="D139"/>
  <c r="D138"/>
  <c r="D137"/>
  <c r="D43"/>
  <c r="D42"/>
  <c r="D82"/>
  <c r="D81"/>
  <c r="D92"/>
  <c r="D91"/>
  <c r="D90"/>
  <c r="D89"/>
  <c r="D88"/>
  <c r="D87"/>
  <c r="D86"/>
  <c r="D85"/>
  <c r="D84"/>
  <c r="D83"/>
  <c r="D80"/>
  <c r="D79"/>
  <c r="D78"/>
  <c r="D77"/>
  <c r="D69"/>
  <c r="D65"/>
  <c r="D64"/>
  <c r="D63"/>
  <c r="D62"/>
  <c r="D61"/>
  <c r="D60"/>
  <c r="D58"/>
  <c r="D57"/>
  <c r="D56"/>
  <c r="D54"/>
  <c r="D52"/>
  <c r="D51"/>
  <c r="D50"/>
  <c r="D49"/>
  <c r="D48"/>
  <c r="D47"/>
  <c r="D45"/>
  <c r="D44"/>
  <c r="D12"/>
  <c r="J136"/>
  <c r="J135"/>
  <c r="J127"/>
  <c r="J126"/>
  <c r="J92"/>
  <c r="J91"/>
  <c r="J90"/>
  <c r="J89"/>
  <c r="J88"/>
  <c r="J147"/>
  <c r="J142"/>
  <c r="J141"/>
  <c r="J140"/>
  <c r="J139"/>
  <c r="J138"/>
  <c r="J137"/>
  <c r="J121"/>
  <c r="J120"/>
  <c r="J119"/>
  <c r="J118"/>
  <c r="J117"/>
  <c r="J116"/>
  <c r="J87"/>
  <c r="J86"/>
  <c r="J85"/>
  <c r="J84"/>
  <c r="J83"/>
  <c r="J80"/>
  <c r="J79"/>
  <c r="J78"/>
  <c r="J77"/>
  <c r="J69"/>
  <c r="J65"/>
  <c r="J64"/>
  <c r="J63"/>
  <c r="J61"/>
  <c r="J60"/>
  <c r="J58"/>
  <c r="J57"/>
  <c r="J56"/>
  <c r="J54"/>
  <c r="J52"/>
  <c r="J51"/>
  <c r="J50"/>
  <c r="J49"/>
  <c r="J48"/>
  <c r="J47"/>
  <c r="J45"/>
  <c r="J44"/>
  <c r="J82"/>
  <c r="J81"/>
  <c r="J43"/>
  <c r="J42"/>
  <c r="J40"/>
  <c r="J39"/>
  <c r="J38"/>
  <c r="J34"/>
  <c r="J33"/>
  <c r="J32"/>
  <c r="J31"/>
  <c r="J30"/>
  <c r="J29"/>
  <c r="J28"/>
  <c r="J19"/>
  <c r="X7"/>
  <c r="X10"/>
  <c r="P17"/>
  <c r="P8"/>
  <c r="P11"/>
  <c r="N12"/>
  <c r="AA15"/>
  <c r="D19"/>
  <c r="F21"/>
  <c r="L21"/>
  <c r="H22"/>
  <c r="R22"/>
  <c r="H23"/>
  <c r="R23"/>
  <c r="H24"/>
  <c r="R24"/>
  <c r="H25"/>
  <c r="R25"/>
  <c r="H26"/>
  <c r="R26"/>
  <c r="F28"/>
  <c r="D29"/>
  <c r="X41"/>
  <c r="L143"/>
  <c r="L121"/>
  <c r="L120"/>
  <c r="L119"/>
  <c r="L118"/>
  <c r="L117"/>
  <c r="L116"/>
  <c r="L136"/>
  <c r="L135"/>
  <c r="L127"/>
  <c r="L126"/>
  <c r="L147"/>
  <c r="L142"/>
  <c r="L141"/>
  <c r="L140"/>
  <c r="L139"/>
  <c r="L138"/>
  <c r="L137"/>
  <c r="L92"/>
  <c r="L91"/>
  <c r="L90"/>
  <c r="L89"/>
  <c r="L88"/>
  <c r="L82"/>
  <c r="L81"/>
  <c r="L43"/>
  <c r="L42"/>
  <c r="L87"/>
  <c r="L86"/>
  <c r="L85"/>
  <c r="L84"/>
  <c r="L83"/>
  <c r="L80"/>
  <c r="L79"/>
  <c r="L78"/>
  <c r="L77"/>
  <c r="L69"/>
  <c r="L65"/>
  <c r="L64"/>
  <c r="L63"/>
  <c r="L62"/>
  <c r="L61"/>
  <c r="L60"/>
  <c r="L58"/>
  <c r="L57"/>
  <c r="L56"/>
  <c r="L54"/>
  <c r="L52"/>
  <c r="L51"/>
  <c r="L50"/>
  <c r="L49"/>
  <c r="L48"/>
  <c r="L47"/>
  <c r="L45"/>
  <c r="L44"/>
  <c r="L12"/>
  <c r="H143"/>
  <c r="H135"/>
  <c r="H127"/>
  <c r="H126"/>
  <c r="H147"/>
  <c r="H142"/>
  <c r="H141"/>
  <c r="H140"/>
  <c r="H139"/>
  <c r="H138"/>
  <c r="H121"/>
  <c r="H120"/>
  <c r="H119"/>
  <c r="H118"/>
  <c r="H117"/>
  <c r="H116"/>
  <c r="H82"/>
  <c r="H81"/>
  <c r="H80"/>
  <c r="H79"/>
  <c r="H78"/>
  <c r="H77"/>
  <c r="H69"/>
  <c r="H65"/>
  <c r="H64"/>
  <c r="H63"/>
  <c r="H62"/>
  <c r="H61"/>
  <c r="H60"/>
  <c r="H58"/>
  <c r="H57"/>
  <c r="H56"/>
  <c r="H54"/>
  <c r="H52"/>
  <c r="H51"/>
  <c r="H50"/>
  <c r="H49"/>
  <c r="H48"/>
  <c r="H47"/>
  <c r="H45"/>
  <c r="H44"/>
  <c r="H43"/>
  <c r="H42"/>
  <c r="H40"/>
  <c r="H39"/>
  <c r="H38"/>
  <c r="H34"/>
  <c r="H33"/>
  <c r="H32"/>
  <c r="H31"/>
  <c r="H30"/>
  <c r="H92"/>
  <c r="H91"/>
  <c r="H90"/>
  <c r="H89"/>
  <c r="H88"/>
  <c r="H87"/>
  <c r="H86"/>
  <c r="H85"/>
  <c r="H84"/>
  <c r="H83"/>
  <c r="H12"/>
  <c r="N147"/>
  <c r="N142"/>
  <c r="N141"/>
  <c r="N140"/>
  <c r="N139"/>
  <c r="N138"/>
  <c r="N137"/>
  <c r="N121"/>
  <c r="N120"/>
  <c r="N119"/>
  <c r="N118"/>
  <c r="N117"/>
  <c r="N116"/>
  <c r="N136"/>
  <c r="N135"/>
  <c r="N127"/>
  <c r="N126"/>
  <c r="N92"/>
  <c r="N91"/>
  <c r="N90"/>
  <c r="N89"/>
  <c r="N88"/>
  <c r="N87"/>
  <c r="N86"/>
  <c r="N85"/>
  <c r="N84"/>
  <c r="N83"/>
  <c r="N67"/>
  <c r="N82"/>
  <c r="N81"/>
  <c r="N43"/>
  <c r="N42"/>
  <c r="N40"/>
  <c r="N39"/>
  <c r="N38"/>
  <c r="N34"/>
  <c r="N33"/>
  <c r="N32"/>
  <c r="N31"/>
  <c r="N30"/>
  <c r="N29"/>
  <c r="N28"/>
  <c r="N80"/>
  <c r="N79"/>
  <c r="N78"/>
  <c r="N77"/>
  <c r="N69"/>
  <c r="N65"/>
  <c r="N64"/>
  <c r="N63"/>
  <c r="N62"/>
  <c r="N61"/>
  <c r="N60"/>
  <c r="N58"/>
  <c r="N57"/>
  <c r="N56"/>
  <c r="N54"/>
  <c r="N52"/>
  <c r="N51"/>
  <c r="N50"/>
  <c r="N49"/>
  <c r="N48"/>
  <c r="N47"/>
  <c r="N45"/>
  <c r="N44"/>
  <c r="N26"/>
  <c r="N25"/>
  <c r="N24"/>
  <c r="N23"/>
  <c r="N22"/>
  <c r="P10"/>
  <c r="R7"/>
  <c r="X8"/>
  <c r="X11"/>
  <c r="L19"/>
  <c r="J21"/>
  <c r="D22"/>
  <c r="D23"/>
  <c r="D24"/>
  <c r="D25"/>
  <c r="D26"/>
  <c r="D28"/>
  <c r="L30"/>
  <c r="L31"/>
  <c r="L32"/>
  <c r="L33"/>
  <c r="L34"/>
  <c r="L38"/>
  <c r="L39"/>
  <c r="L40"/>
  <c r="V41"/>
  <c r="R136"/>
  <c r="R135"/>
  <c r="R127"/>
  <c r="R126"/>
  <c r="R92"/>
  <c r="R91"/>
  <c r="R90"/>
  <c r="R89"/>
  <c r="R88"/>
  <c r="R147"/>
  <c r="R142"/>
  <c r="R141"/>
  <c r="R140"/>
  <c r="R139"/>
  <c r="R138"/>
  <c r="R137"/>
  <c r="R121"/>
  <c r="R120"/>
  <c r="R119"/>
  <c r="R118"/>
  <c r="R117"/>
  <c r="R116"/>
  <c r="R80"/>
  <c r="R79"/>
  <c r="R78"/>
  <c r="R77"/>
  <c r="R69"/>
  <c r="R65"/>
  <c r="R64"/>
  <c r="R63"/>
  <c r="R62"/>
  <c r="R61"/>
  <c r="R60"/>
  <c r="R58"/>
  <c r="R57"/>
  <c r="R56"/>
  <c r="R54"/>
  <c r="R52"/>
  <c r="R51"/>
  <c r="R50"/>
  <c r="R49"/>
  <c r="R48"/>
  <c r="R47"/>
  <c r="R45"/>
  <c r="R44"/>
  <c r="R82"/>
  <c r="R81"/>
  <c r="R87"/>
  <c r="R86"/>
  <c r="R85"/>
  <c r="R84"/>
  <c r="R83"/>
  <c r="R42"/>
  <c r="R40"/>
  <c r="R39"/>
  <c r="R38"/>
  <c r="R34"/>
  <c r="R33"/>
  <c r="R32"/>
  <c r="R31"/>
  <c r="R30"/>
  <c r="R29"/>
  <c r="R28"/>
  <c r="R19"/>
  <c r="L22"/>
  <c r="L23"/>
  <c r="L24"/>
  <c r="L25"/>
  <c r="L26"/>
  <c r="L28"/>
  <c r="L29"/>
  <c r="T41"/>
  <c r="V11"/>
  <c r="V10"/>
  <c r="V8"/>
  <c r="V7"/>
  <c r="AA41"/>
  <c r="F19"/>
  <c r="R41"/>
  <c r="F41"/>
  <c r="J41"/>
  <c r="N41"/>
  <c r="F93"/>
  <c r="N93"/>
  <c r="V93"/>
  <c r="AA93"/>
  <c r="AC93"/>
  <c r="D93"/>
  <c r="L93"/>
  <c r="J143"/>
  <c r="R143"/>
  <c r="D41"/>
  <c r="H41"/>
  <c r="L41"/>
  <c r="R43"/>
  <c r="V43"/>
  <c r="J93"/>
  <c r="R93"/>
  <c r="H93"/>
  <c r="X93"/>
  <c r="F143"/>
  <c r="N143"/>
  <c r="V143"/>
  <c r="AC15"/>
  <c r="AC41"/>
  <c r="L27"/>
  <c r="K28" i="20"/>
  <c r="J27" i="21"/>
  <c r="I28" i="20"/>
  <c r="H27" i="21"/>
  <c r="G28" i="20"/>
  <c r="D27" i="21"/>
  <c r="C28" i="20"/>
  <c r="F27" i="21"/>
  <c r="E28" i="20"/>
  <c r="AA38"/>
  <c r="AA39"/>
  <c r="AA33"/>
  <c r="X17" i="21"/>
  <c r="W28" i="20"/>
  <c r="U28"/>
  <c r="V17" i="21"/>
  <c r="Q28" i="20"/>
  <c r="R17" i="21"/>
  <c r="AA32" i="20"/>
  <c r="N37" i="24"/>
  <c r="N16" i="21"/>
  <c r="N27"/>
  <c r="J16"/>
  <c r="H134" i="24"/>
  <c r="D130"/>
  <c r="D55"/>
  <c r="D37"/>
  <c r="AA37"/>
  <c r="AC37"/>
  <c r="AD37"/>
  <c r="AB36"/>
  <c r="T73" i="21"/>
  <c r="T114"/>
  <c r="T113"/>
  <c r="T111"/>
  <c r="T110"/>
  <c r="T109"/>
  <c r="T108"/>
  <c r="T106"/>
  <c r="T103"/>
  <c r="T105"/>
  <c r="T104"/>
  <c r="T102"/>
  <c r="T101"/>
  <c r="T99"/>
  <c r="T98"/>
  <c r="T97"/>
  <c r="T96"/>
  <c r="T95"/>
  <c r="T94"/>
  <c r="T107"/>
  <c r="T100"/>
  <c r="T112"/>
  <c r="T115"/>
  <c r="T72"/>
  <c r="T71"/>
  <c r="T70"/>
  <c r="T66"/>
  <c r="T75"/>
  <c r="AH16"/>
  <c r="P73"/>
  <c r="P114"/>
  <c r="P113"/>
  <c r="P112"/>
  <c r="P105"/>
  <c r="P104"/>
  <c r="P99"/>
  <c r="P98"/>
  <c r="P97"/>
  <c r="P96"/>
  <c r="P95"/>
  <c r="P94"/>
  <c r="P111"/>
  <c r="P110"/>
  <c r="P109"/>
  <c r="P108"/>
  <c r="P106"/>
  <c r="P103"/>
  <c r="P102"/>
  <c r="P101"/>
  <c r="P107"/>
  <c r="P100"/>
  <c r="P115"/>
  <c r="P72"/>
  <c r="P71"/>
  <c r="P66"/>
  <c r="P70"/>
  <c r="P75"/>
  <c r="D16"/>
  <c r="H145" i="24"/>
  <c r="F55"/>
  <c r="F130"/>
  <c r="P55"/>
  <c r="P130"/>
  <c r="J55"/>
  <c r="J130"/>
  <c r="N59"/>
  <c r="N134"/>
  <c r="R55"/>
  <c r="R130"/>
  <c r="AH130"/>
  <c r="D59"/>
  <c r="C145"/>
  <c r="D134"/>
  <c r="L55"/>
  <c r="L130"/>
  <c r="T124" i="21"/>
  <c r="T122"/>
  <c r="T123"/>
  <c r="T68"/>
  <c r="T46"/>
  <c r="T42"/>
  <c r="P123"/>
  <c r="P124"/>
  <c r="P68"/>
  <c r="P122"/>
  <c r="P46"/>
  <c r="T76"/>
  <c r="P41"/>
  <c r="P76"/>
  <c r="T93"/>
  <c r="T43"/>
  <c r="T130" i="24"/>
  <c r="T59"/>
  <c r="X130"/>
  <c r="X59"/>
  <c r="V130"/>
  <c r="V59"/>
  <c r="Z130"/>
  <c r="Z59"/>
  <c r="P93" i="21"/>
  <c r="P43"/>
  <c r="T143"/>
  <c r="T121"/>
  <c r="T120"/>
  <c r="T119"/>
  <c r="T118"/>
  <c r="T117"/>
  <c r="T116"/>
  <c r="T136"/>
  <c r="T135"/>
  <c r="T127"/>
  <c r="T126"/>
  <c r="T147"/>
  <c r="T142"/>
  <c r="T141"/>
  <c r="T140"/>
  <c r="T139"/>
  <c r="T138"/>
  <c r="T137"/>
  <c r="T87"/>
  <c r="T86"/>
  <c r="T85"/>
  <c r="T84"/>
  <c r="T83"/>
  <c r="T92"/>
  <c r="T91"/>
  <c r="T90"/>
  <c r="T89"/>
  <c r="T88"/>
  <c r="T80"/>
  <c r="T79"/>
  <c r="T78"/>
  <c r="T77"/>
  <c r="T69"/>
  <c r="T65"/>
  <c r="T64"/>
  <c r="T63"/>
  <c r="T62"/>
  <c r="T61"/>
  <c r="T60"/>
  <c r="T58"/>
  <c r="T57"/>
  <c r="T56"/>
  <c r="T54"/>
  <c r="T52"/>
  <c r="T51"/>
  <c r="T50"/>
  <c r="T49"/>
  <c r="T48"/>
  <c r="T47"/>
  <c r="T45"/>
  <c r="T44"/>
  <c r="T82"/>
  <c r="T81"/>
  <c r="T12"/>
  <c r="T19"/>
  <c r="T24"/>
  <c r="T23"/>
  <c r="T22"/>
  <c r="T40"/>
  <c r="T39"/>
  <c r="T38"/>
  <c r="T34"/>
  <c r="T33"/>
  <c r="T32"/>
  <c r="T31"/>
  <c r="T30"/>
  <c r="T29"/>
  <c r="T28"/>
  <c r="T26"/>
  <c r="T25"/>
  <c r="H16"/>
  <c r="F16"/>
  <c r="Z11"/>
  <c r="Z8"/>
  <c r="Z10"/>
  <c r="Z7"/>
  <c r="R16"/>
  <c r="P143"/>
  <c r="P136"/>
  <c r="P135"/>
  <c r="P127"/>
  <c r="P126"/>
  <c r="P147"/>
  <c r="P142"/>
  <c r="P141"/>
  <c r="P140"/>
  <c r="P139"/>
  <c r="P138"/>
  <c r="P137"/>
  <c r="P121"/>
  <c r="P120"/>
  <c r="P119"/>
  <c r="P118"/>
  <c r="P117"/>
  <c r="P116"/>
  <c r="P82"/>
  <c r="P81"/>
  <c r="P80"/>
  <c r="P79"/>
  <c r="P78"/>
  <c r="P77"/>
  <c r="P69"/>
  <c r="P65"/>
  <c r="P64"/>
  <c r="P63"/>
  <c r="P62"/>
  <c r="P61"/>
  <c r="P60"/>
  <c r="P58"/>
  <c r="P57"/>
  <c r="P56"/>
  <c r="P54"/>
  <c r="P52"/>
  <c r="P51"/>
  <c r="P50"/>
  <c r="P49"/>
  <c r="P48"/>
  <c r="P47"/>
  <c r="P45"/>
  <c r="P44"/>
  <c r="P92"/>
  <c r="P91"/>
  <c r="P90"/>
  <c r="P89"/>
  <c r="P88"/>
  <c r="P67"/>
  <c r="P87"/>
  <c r="P86"/>
  <c r="P85"/>
  <c r="P84"/>
  <c r="P83"/>
  <c r="P42"/>
  <c r="P39"/>
  <c r="P38"/>
  <c r="P34"/>
  <c r="P33"/>
  <c r="P32"/>
  <c r="P31"/>
  <c r="P30"/>
  <c r="P12"/>
  <c r="P29"/>
  <c r="P28"/>
  <c r="P26"/>
  <c r="P25"/>
  <c r="P24"/>
  <c r="P23"/>
  <c r="P22"/>
  <c r="P19"/>
  <c r="X16"/>
  <c r="Z9"/>
  <c r="L16"/>
  <c r="V40"/>
  <c r="V16"/>
  <c r="X27"/>
  <c r="X35"/>
  <c r="V27"/>
  <c r="V35"/>
  <c r="S28" i="20"/>
  <c r="T17" i="21"/>
  <c r="R27"/>
  <c r="AH21"/>
  <c r="P27"/>
  <c r="O28" i="20"/>
  <c r="AA130" i="24"/>
  <c r="AC130"/>
  <c r="AD130"/>
  <c r="AB37"/>
  <c r="AH27" i="21"/>
  <c r="F35"/>
  <c r="N35"/>
  <c r="C35"/>
  <c r="D35"/>
  <c r="Z73"/>
  <c r="Z113"/>
  <c r="Z110"/>
  <c r="Z108"/>
  <c r="Z104"/>
  <c r="Z103"/>
  <c r="Z101"/>
  <c r="Z99"/>
  <c r="Z97"/>
  <c r="Z95"/>
  <c r="Z114"/>
  <c r="Z111"/>
  <c r="Z109"/>
  <c r="Z107"/>
  <c r="Z105"/>
  <c r="Z100"/>
  <c r="Z98"/>
  <c r="Z96"/>
  <c r="Z94"/>
  <c r="Z106"/>
  <c r="Z102"/>
  <c r="Z112"/>
  <c r="Z115"/>
  <c r="Z72"/>
  <c r="Z66"/>
  <c r="Z71"/>
  <c r="Z75"/>
  <c r="Z70"/>
  <c r="AH125"/>
  <c r="N125"/>
  <c r="L125"/>
  <c r="J125"/>
  <c r="H125"/>
  <c r="F125"/>
  <c r="C128"/>
  <c r="D125"/>
  <c r="H151" i="24"/>
  <c r="R59"/>
  <c r="R134"/>
  <c r="AH134"/>
  <c r="N145"/>
  <c r="M40" i="20"/>
  <c r="P59" i="24"/>
  <c r="P134"/>
  <c r="L59"/>
  <c r="L134"/>
  <c r="D145"/>
  <c r="C151"/>
  <c r="C40" i="20"/>
  <c r="F59" i="24"/>
  <c r="F134"/>
  <c r="J59"/>
  <c r="J134"/>
  <c r="Z123" i="21"/>
  <c r="Z124"/>
  <c r="Z122"/>
  <c r="Z46"/>
  <c r="Z68"/>
  <c r="L35"/>
  <c r="J35"/>
  <c r="H35"/>
  <c r="C36"/>
  <c r="C29" i="20"/>
  <c r="Z76" i="21"/>
  <c r="AA17"/>
  <c r="AC17"/>
  <c r="R35"/>
  <c r="AH35"/>
  <c r="X134" i="24"/>
  <c r="T134"/>
  <c r="Z134"/>
  <c r="V134"/>
  <c r="X125" i="21"/>
  <c r="AA12"/>
  <c r="AB8"/>
  <c r="AB9"/>
  <c r="AB11"/>
  <c r="AB7"/>
  <c r="AB10"/>
  <c r="V21"/>
  <c r="P40"/>
  <c r="P16"/>
  <c r="P35"/>
  <c r="R125"/>
  <c r="V125"/>
  <c r="X21"/>
  <c r="Z136"/>
  <c r="Z135"/>
  <c r="Z127"/>
  <c r="Z126"/>
  <c r="Z92"/>
  <c r="Z91"/>
  <c r="Z90"/>
  <c r="Z89"/>
  <c r="Z88"/>
  <c r="Z147"/>
  <c r="Z142"/>
  <c r="Z141"/>
  <c r="Z140"/>
  <c r="Z139"/>
  <c r="Z138"/>
  <c r="Z137"/>
  <c r="Z121"/>
  <c r="Z120"/>
  <c r="Z119"/>
  <c r="Z118"/>
  <c r="Z117"/>
  <c r="Z116"/>
  <c r="Z82"/>
  <c r="Z81"/>
  <c r="Z80"/>
  <c r="Z79"/>
  <c r="Z78"/>
  <c r="Z77"/>
  <c r="Z69"/>
  <c r="Z65"/>
  <c r="Z64"/>
  <c r="Z63"/>
  <c r="Z62"/>
  <c r="Z61"/>
  <c r="Z60"/>
  <c r="Z58"/>
  <c r="Z57"/>
  <c r="Z56"/>
  <c r="Z54"/>
  <c r="Z52"/>
  <c r="Z51"/>
  <c r="Z50"/>
  <c r="Z49"/>
  <c r="Z48"/>
  <c r="Z47"/>
  <c r="Z45"/>
  <c r="Z44"/>
  <c r="Z87"/>
  <c r="Z86"/>
  <c r="Z85"/>
  <c r="Z84"/>
  <c r="Z83"/>
  <c r="Z42"/>
  <c r="Z40"/>
  <c r="Z39"/>
  <c r="Z38"/>
  <c r="Z34"/>
  <c r="Z33"/>
  <c r="Z32"/>
  <c r="Z31"/>
  <c r="Z30"/>
  <c r="Z29"/>
  <c r="Z28"/>
  <c r="Z19"/>
  <c r="Z12"/>
  <c r="Z26"/>
  <c r="Z25"/>
  <c r="Z24"/>
  <c r="Z23"/>
  <c r="Z22"/>
  <c r="Z43"/>
  <c r="Z93"/>
  <c r="Z41"/>
  <c r="Z143"/>
  <c r="R21"/>
  <c r="T16"/>
  <c r="Z17"/>
  <c r="Y28" i="20"/>
  <c r="W29"/>
  <c r="U29"/>
  <c r="T27" i="21"/>
  <c r="AH128"/>
  <c r="AH36"/>
  <c r="Q29" i="20"/>
  <c r="AB130" i="24"/>
  <c r="AA134"/>
  <c r="AC134"/>
  <c r="AD134"/>
  <c r="F36" i="21"/>
  <c r="N53"/>
  <c r="N128"/>
  <c r="L144"/>
  <c r="L128"/>
  <c r="L53"/>
  <c r="J128"/>
  <c r="J144"/>
  <c r="J53"/>
  <c r="H144"/>
  <c r="H128"/>
  <c r="H53"/>
  <c r="F144"/>
  <c r="F53"/>
  <c r="F128"/>
  <c r="AB97"/>
  <c r="AB101"/>
  <c r="AB105"/>
  <c r="AB109"/>
  <c r="AB113"/>
  <c r="AB96"/>
  <c r="AB100"/>
  <c r="AB104"/>
  <c r="AB108"/>
  <c r="AB112"/>
  <c r="AB115"/>
  <c r="AB94"/>
  <c r="AB95"/>
  <c r="AB99"/>
  <c r="AB103"/>
  <c r="AB107"/>
  <c r="AB111"/>
  <c r="AB98"/>
  <c r="AB102"/>
  <c r="AB106"/>
  <c r="AB110"/>
  <c r="AB114"/>
  <c r="D53"/>
  <c r="C144"/>
  <c r="D128"/>
  <c r="F145" i="24"/>
  <c r="E40" i="20"/>
  <c r="P145" i="24"/>
  <c r="O40" i="20"/>
  <c r="C153" i="24"/>
  <c r="C155"/>
  <c r="D151"/>
  <c r="N151"/>
  <c r="J145"/>
  <c r="Q40" i="20"/>
  <c r="R145" i="24"/>
  <c r="AH145"/>
  <c r="L145"/>
  <c r="L36" i="21"/>
  <c r="J36"/>
  <c r="H36"/>
  <c r="D36"/>
  <c r="C37"/>
  <c r="AC12"/>
  <c r="AB122"/>
  <c r="AB123"/>
  <c r="AB124"/>
  <c r="AB73"/>
  <c r="AB71"/>
  <c r="AB75"/>
  <c r="AB72"/>
  <c r="AB70"/>
  <c r="AB76"/>
  <c r="T145" i="24"/>
  <c r="S40" i="20"/>
  <c r="U40"/>
  <c r="V145" i="24"/>
  <c r="X145"/>
  <c r="W40" i="20"/>
  <c r="Y40"/>
  <c r="Z145" i="24"/>
  <c r="V128" i="21"/>
  <c r="V53"/>
  <c r="X128"/>
  <c r="X53"/>
  <c r="T125"/>
  <c r="P125"/>
  <c r="AD10"/>
  <c r="AD11"/>
  <c r="AD7"/>
  <c r="AD8"/>
  <c r="AD9"/>
  <c r="P21"/>
  <c r="O29" i="20"/>
  <c r="AB17" i="21"/>
  <c r="AA21"/>
  <c r="AC21"/>
  <c r="R128"/>
  <c r="R53"/>
  <c r="AB147"/>
  <c r="AB142"/>
  <c r="AB141"/>
  <c r="AB140"/>
  <c r="AB139"/>
  <c r="AB138"/>
  <c r="AB137"/>
  <c r="AB136"/>
  <c r="AB135"/>
  <c r="AB132"/>
  <c r="AB82"/>
  <c r="AB81"/>
  <c r="AB80"/>
  <c r="AB79"/>
  <c r="AB78"/>
  <c r="AB77"/>
  <c r="AB69"/>
  <c r="AB68"/>
  <c r="AB67"/>
  <c r="AB12"/>
  <c r="AB19"/>
  <c r="AA16"/>
  <c r="AC16"/>
  <c r="AB25"/>
  <c r="AB32"/>
  <c r="AB49"/>
  <c r="AB57"/>
  <c r="AB54"/>
  <c r="AB116"/>
  <c r="AB91"/>
  <c r="AB31"/>
  <c r="AB22"/>
  <c r="AB26"/>
  <c r="AB47"/>
  <c r="AB55"/>
  <c r="AB64"/>
  <c r="AB38"/>
  <c r="AB44"/>
  <c r="AB52"/>
  <c r="AB61"/>
  <c r="AB23"/>
  <c r="AB59"/>
  <c r="AB45"/>
  <c r="AB53"/>
  <c r="AB62"/>
  <c r="AB42"/>
  <c r="AB33"/>
  <c r="AB50"/>
  <c r="AB58"/>
  <c r="AB66"/>
  <c r="AB85"/>
  <c r="AB90"/>
  <c r="AB30"/>
  <c r="AB63"/>
  <c r="AB87"/>
  <c r="AB118"/>
  <c r="AB121"/>
  <c r="AB88"/>
  <c r="AB119"/>
  <c r="AB86"/>
  <c r="AB117"/>
  <c r="AB29"/>
  <c r="AB39"/>
  <c r="AB24"/>
  <c r="AB51"/>
  <c r="AB60"/>
  <c r="AB28"/>
  <c r="AB40"/>
  <c r="AB48"/>
  <c r="AB56"/>
  <c r="AB65"/>
  <c r="AB84"/>
  <c r="AB126"/>
  <c r="AB120"/>
  <c r="AB89"/>
  <c r="AB127"/>
  <c r="AB34"/>
  <c r="AB46"/>
  <c r="AB83"/>
  <c r="AB92"/>
  <c r="AB143"/>
  <c r="AB43"/>
  <c r="AB41"/>
  <c r="AB93"/>
  <c r="Z16"/>
  <c r="R36"/>
  <c r="X36"/>
  <c r="V36"/>
  <c r="T21"/>
  <c r="AM6" i="5"/>
  <c r="AM7"/>
  <c r="AM8"/>
  <c r="AM9"/>
  <c r="AM10"/>
  <c r="AM11"/>
  <c r="AM13"/>
  <c r="AM14"/>
  <c r="AM18"/>
  <c r="AM19"/>
  <c r="AM20"/>
  <c r="AM22"/>
  <c r="AM23"/>
  <c r="AM24"/>
  <c r="AM25"/>
  <c r="AM26"/>
  <c r="AM28"/>
  <c r="AM29"/>
  <c r="AM30"/>
  <c r="AM31"/>
  <c r="AM32"/>
  <c r="AM33"/>
  <c r="AM34"/>
  <c r="AM38"/>
  <c r="AM39"/>
  <c r="AM40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7"/>
  <c r="AM78"/>
  <c r="AM79"/>
  <c r="AM80"/>
  <c r="AM81"/>
  <c r="AM82"/>
  <c r="AM83"/>
  <c r="AM84"/>
  <c r="AM85"/>
  <c r="AM86"/>
  <c r="AM87"/>
  <c r="AM88"/>
  <c r="AM89"/>
  <c r="AM90"/>
  <c r="AM91"/>
  <c r="AM92"/>
  <c r="AM94"/>
  <c r="AM95"/>
  <c r="AM96"/>
  <c r="AM97"/>
  <c r="AM98"/>
  <c r="AM99"/>
  <c r="AM101"/>
  <c r="AM102"/>
  <c r="AM103"/>
  <c r="AM104"/>
  <c r="AM105"/>
  <c r="AM106"/>
  <c r="AM107"/>
  <c r="AM116"/>
  <c r="AM117"/>
  <c r="AM119"/>
  <c r="AM120"/>
  <c r="AM121"/>
  <c r="AM122"/>
  <c r="AM123"/>
  <c r="AM124"/>
  <c r="AM125"/>
  <c r="AM127"/>
  <c r="AM128"/>
  <c r="AM130"/>
  <c r="AN130"/>
  <c r="AM132"/>
  <c r="AN132"/>
  <c r="AM133"/>
  <c r="AM134"/>
  <c r="AN134"/>
  <c r="AM136"/>
  <c r="AM137"/>
  <c r="AM138"/>
  <c r="AM139"/>
  <c r="AM140"/>
  <c r="AM141"/>
  <c r="AM142"/>
  <c r="AM143"/>
  <c r="AM147"/>
  <c r="AN147"/>
  <c r="AM148"/>
  <c r="AM149"/>
  <c r="AN149"/>
  <c r="AM150"/>
  <c r="AM151"/>
  <c r="AN151"/>
  <c r="AE82" i="1"/>
  <c r="D144" i="21"/>
  <c r="C30" i="20"/>
  <c r="AA28"/>
  <c r="Z35" i="21"/>
  <c r="Z27"/>
  <c r="AA125"/>
  <c r="AC125"/>
  <c r="S29" i="20"/>
  <c r="T35" i="21"/>
  <c r="AH37"/>
  <c r="X144"/>
  <c r="W30" i="20"/>
  <c r="V144" i="21"/>
  <c r="U30" i="20"/>
  <c r="AA40"/>
  <c r="AH144" i="21"/>
  <c r="Q30" i="20"/>
  <c r="N144" i="21"/>
  <c r="M30" i="20"/>
  <c r="M29"/>
  <c r="N36" i="21"/>
  <c r="AA145" i="24"/>
  <c r="AC145"/>
  <c r="AD145"/>
  <c r="AB134"/>
  <c r="AA27" i="21"/>
  <c r="AD112"/>
  <c r="AD108"/>
  <c r="AD104"/>
  <c r="AD100"/>
  <c r="AD115"/>
  <c r="AD97"/>
  <c r="AD111"/>
  <c r="AD107"/>
  <c r="AD103"/>
  <c r="AD99"/>
  <c r="AD95"/>
  <c r="AD114"/>
  <c r="AD110"/>
  <c r="AD106"/>
  <c r="AD102"/>
  <c r="AD98"/>
  <c r="AD96"/>
  <c r="AD113"/>
  <c r="AD109"/>
  <c r="AD105"/>
  <c r="AD101"/>
  <c r="AD94"/>
  <c r="L151" i="24"/>
  <c r="P151"/>
  <c r="F151"/>
  <c r="E153"/>
  <c r="AH151"/>
  <c r="R151"/>
  <c r="J151"/>
  <c r="N37" i="21"/>
  <c r="L37"/>
  <c r="J37"/>
  <c r="H37"/>
  <c r="D37"/>
  <c r="C130"/>
  <c r="AD122"/>
  <c r="AD123"/>
  <c r="AD124"/>
  <c r="AD75"/>
  <c r="AD72"/>
  <c r="AD70"/>
  <c r="AD73"/>
  <c r="AD71"/>
  <c r="AD76"/>
  <c r="X151" i="24"/>
  <c r="T151"/>
  <c r="Z151"/>
  <c r="V151"/>
  <c r="R144" i="21"/>
  <c r="V37"/>
  <c r="Z21"/>
  <c r="P36"/>
  <c r="T128"/>
  <c r="T53"/>
  <c r="T36"/>
  <c r="Z125"/>
  <c r="AD136"/>
  <c r="AD135"/>
  <c r="AD132"/>
  <c r="AD82"/>
  <c r="AD81"/>
  <c r="AD80"/>
  <c r="AD26"/>
  <c r="AD25"/>
  <c r="AD24"/>
  <c r="AD23"/>
  <c r="AD22"/>
  <c r="AD12"/>
  <c r="AD28"/>
  <c r="AD45"/>
  <c r="AD53"/>
  <c r="AD62"/>
  <c r="AD67"/>
  <c r="AD79"/>
  <c r="AD52"/>
  <c r="AD141"/>
  <c r="AD139"/>
  <c r="AD19"/>
  <c r="AD51"/>
  <c r="AD60"/>
  <c r="AD77"/>
  <c r="AD89"/>
  <c r="AD50"/>
  <c r="AD58"/>
  <c r="AD88"/>
  <c r="AD68"/>
  <c r="AD127"/>
  <c r="AD49"/>
  <c r="AD57"/>
  <c r="AD90"/>
  <c r="AD86"/>
  <c r="AD48"/>
  <c r="AD56"/>
  <c r="AD65"/>
  <c r="AD78"/>
  <c r="AD91"/>
  <c r="AD137"/>
  <c r="AD61"/>
  <c r="AD85"/>
  <c r="AD83"/>
  <c r="AD92"/>
  <c r="AD47"/>
  <c r="AD55"/>
  <c r="AD64"/>
  <c r="AD69"/>
  <c r="AD84"/>
  <c r="AD46"/>
  <c r="AD54"/>
  <c r="AD63"/>
  <c r="AD87"/>
  <c r="AD143"/>
  <c r="AD126"/>
  <c r="AD142"/>
  <c r="AD147"/>
  <c r="AD44"/>
  <c r="AD140"/>
  <c r="AD138"/>
  <c r="AD118"/>
  <c r="AD59"/>
  <c r="AD42"/>
  <c r="AD120"/>
  <c r="AD38"/>
  <c r="AD31"/>
  <c r="AD119"/>
  <c r="AD39"/>
  <c r="AD32"/>
  <c r="AD121"/>
  <c r="AD33"/>
  <c r="AD116"/>
  <c r="AD66"/>
  <c r="AD30"/>
  <c r="AD93"/>
  <c r="AD29"/>
  <c r="AD34"/>
  <c r="AD117"/>
  <c r="AD40"/>
  <c r="AD41"/>
  <c r="AD43"/>
  <c r="X37"/>
  <c r="R37"/>
  <c r="AB16"/>
  <c r="AD17"/>
  <c r="P128"/>
  <c r="P53"/>
  <c r="AB21"/>
  <c r="AA128"/>
  <c r="AC128"/>
  <c r="AN46" i="5"/>
  <c r="AA57" i="19"/>
  <c r="AN65" i="5"/>
  <c r="AJ65"/>
  <c r="AN57"/>
  <c r="AC46"/>
  <c r="AA46" i="1"/>
  <c r="AA46" i="12"/>
  <c r="AB125" i="21"/>
  <c r="O30" i="20"/>
  <c r="Y29"/>
  <c r="S30"/>
  <c r="AA151" i="24"/>
  <c r="AC151"/>
  <c r="AB145"/>
  <c r="F37" i="21"/>
  <c r="AC57" i="12"/>
  <c r="AC27" i="21"/>
  <c r="AD27"/>
  <c r="AB27"/>
  <c r="AA35"/>
  <c r="AN45" i="5"/>
  <c r="AH130" i="21"/>
  <c r="E155" i="24"/>
  <c r="G153"/>
  <c r="N55" i="21"/>
  <c r="N130"/>
  <c r="L130"/>
  <c r="L55"/>
  <c r="J130"/>
  <c r="J55"/>
  <c r="H130"/>
  <c r="H55"/>
  <c r="F130"/>
  <c r="F55"/>
  <c r="D55"/>
  <c r="C134"/>
  <c r="D130"/>
  <c r="P144"/>
  <c r="T144"/>
  <c r="Z36"/>
  <c r="AD125"/>
  <c r="AD21"/>
  <c r="R130"/>
  <c r="R55"/>
  <c r="Z128"/>
  <c r="Z53"/>
  <c r="T37"/>
  <c r="S152"/>
  <c r="P37"/>
  <c r="V130"/>
  <c r="V55"/>
  <c r="AB128"/>
  <c r="AA144"/>
  <c r="AC144"/>
  <c r="AD16"/>
  <c r="X130"/>
  <c r="X55"/>
  <c r="AA29" i="20"/>
  <c r="Z144" i="21"/>
  <c r="Y30" i="20"/>
  <c r="AA154" i="24"/>
  <c r="AB151"/>
  <c r="AC35" i="21"/>
  <c r="AD35"/>
  <c r="AB35"/>
  <c r="AA36"/>
  <c r="AH134"/>
  <c r="G155" i="24"/>
  <c r="I153"/>
  <c r="N134" i="21"/>
  <c r="N59"/>
  <c r="L134"/>
  <c r="L59"/>
  <c r="J59"/>
  <c r="J134"/>
  <c r="H59"/>
  <c r="H134"/>
  <c r="F59"/>
  <c r="F134"/>
  <c r="D134"/>
  <c r="C145"/>
  <c r="D59"/>
  <c r="AD151" i="24"/>
  <c r="AB144" i="21"/>
  <c r="AD144"/>
  <c r="R134"/>
  <c r="R59"/>
  <c r="AD128"/>
  <c r="V134"/>
  <c r="V59"/>
  <c r="P130"/>
  <c r="P55"/>
  <c r="T130"/>
  <c r="T55"/>
  <c r="X134"/>
  <c r="X59"/>
  <c r="Z37"/>
  <c r="AA30" i="20"/>
  <c r="AC36" i="21"/>
  <c r="AD36"/>
  <c r="AB36"/>
  <c r="AA37"/>
  <c r="AH145"/>
  <c r="K153" i="24"/>
  <c r="I155"/>
  <c r="N145" i="21"/>
  <c r="K31" i="20"/>
  <c r="L145" i="21"/>
  <c r="I31" i="20"/>
  <c r="J145" i="21"/>
  <c r="G31" i="20"/>
  <c r="H145" i="21"/>
  <c r="E31" i="20"/>
  <c r="F145" i="21"/>
  <c r="C151"/>
  <c r="C31" i="20"/>
  <c r="D145" i="21"/>
  <c r="R145"/>
  <c r="Q31" i="20"/>
  <c r="Z130" i="21"/>
  <c r="Z55"/>
  <c r="T134"/>
  <c r="T59"/>
  <c r="X145"/>
  <c r="P134"/>
  <c r="P59"/>
  <c r="V145"/>
  <c r="K144" i="1"/>
  <c r="K6" i="20"/>
  <c r="K50"/>
  <c r="M31"/>
  <c r="W31"/>
  <c r="U31"/>
  <c r="AC37" i="21"/>
  <c r="AD37"/>
  <c r="AA130"/>
  <c r="AB37"/>
  <c r="AI36"/>
  <c r="AH151"/>
  <c r="M153" i="24"/>
  <c r="K155"/>
  <c r="N151" i="21"/>
  <c r="L151"/>
  <c r="J151"/>
  <c r="H151"/>
  <c r="F151"/>
  <c r="D151"/>
  <c r="C153"/>
  <c r="T145"/>
  <c r="Z134"/>
  <c r="Z59"/>
  <c r="X151"/>
  <c r="V151"/>
  <c r="P145"/>
  <c r="R151"/>
  <c r="O31" i="20"/>
  <c r="S31"/>
  <c r="AB130" i="21"/>
  <c r="AC130"/>
  <c r="AD130"/>
  <c r="AA134"/>
  <c r="O153" i="24"/>
  <c r="M155"/>
  <c r="C155" i="21"/>
  <c r="E153"/>
  <c r="P151"/>
  <c r="Z145"/>
  <c r="T151"/>
  <c r="Y31" i="20"/>
  <c r="AC134" i="21"/>
  <c r="AD134"/>
  <c r="AA145"/>
  <c r="AB134"/>
  <c r="O155" i="24"/>
  <c r="Q153"/>
  <c r="E155" i="21"/>
  <c r="G153"/>
  <c r="Z151"/>
  <c r="AN77" i="5"/>
  <c r="AN78"/>
  <c r="AN79"/>
  <c r="AA148" i="1"/>
  <c r="AA31" i="20"/>
  <c r="AC145" i="21"/>
  <c r="AD145"/>
  <c r="AA151"/>
  <c r="AA154"/>
  <c r="AB145"/>
  <c r="S153" i="24"/>
  <c r="Q155"/>
  <c r="I153" i="21"/>
  <c r="G155"/>
  <c r="AN106" i="5"/>
  <c r="AN107"/>
  <c r="AN95"/>
  <c r="AN97"/>
  <c r="AN99"/>
  <c r="AN101"/>
  <c r="AN102"/>
  <c r="AN104"/>
  <c r="AC151" i="21"/>
  <c r="AB151"/>
  <c r="U153" i="24"/>
  <c r="S155"/>
  <c r="K153" i="21"/>
  <c r="I155"/>
  <c r="AN98" i="5"/>
  <c r="AN103"/>
  <c r="AN105"/>
  <c r="AN96"/>
  <c r="AA5" i="1"/>
  <c r="AE9"/>
  <c r="AD151" i="21"/>
  <c r="W153" i="24"/>
  <c r="U155"/>
  <c r="M153" i="21"/>
  <c r="K155"/>
  <c r="Y153" i="24"/>
  <c r="Y155"/>
  <c r="W155"/>
  <c r="O153" i="21"/>
  <c r="M155"/>
  <c r="Z68" i="1"/>
  <c r="Z73"/>
  <c r="Z71"/>
  <c r="Z69"/>
  <c r="Z76"/>
  <c r="Z75"/>
  <c r="Z72"/>
  <c r="Z70"/>
  <c r="Z46"/>
  <c r="Z92"/>
  <c r="O155" i="21"/>
  <c r="Q153"/>
  <c r="AA77" i="1"/>
  <c r="AA78"/>
  <c r="AA79"/>
  <c r="S153" i="21"/>
  <c r="Q155"/>
  <c r="S155"/>
  <c r="U153"/>
  <c r="W153"/>
  <c r="U155"/>
  <c r="W144" i="19"/>
  <c r="W23" i="20"/>
  <c r="O144" i="19"/>
  <c r="O23" i="20"/>
  <c r="G144" i="19"/>
  <c r="AA117" i="1"/>
  <c r="C93" i="19"/>
  <c r="C24" i="20" s="1"/>
  <c r="I93" i="19"/>
  <c r="I24" i="20" s="1"/>
  <c r="E93" i="19"/>
  <c r="E24" i="20" s="1"/>
  <c r="AI65" i="19"/>
  <c r="AA65" i="1"/>
  <c r="K41" i="19"/>
  <c r="I41"/>
  <c r="G41"/>
  <c r="E41"/>
  <c r="C41"/>
  <c r="AA150"/>
  <c r="AA148"/>
  <c r="AA143"/>
  <c r="AA142"/>
  <c r="AA141"/>
  <c r="AA140"/>
  <c r="AA139"/>
  <c r="AA138"/>
  <c r="AA137"/>
  <c r="AA136"/>
  <c r="AA133"/>
  <c r="AA128"/>
  <c r="AA127"/>
  <c r="AA125"/>
  <c r="AA124"/>
  <c r="AA123"/>
  <c r="AA122"/>
  <c r="AA121"/>
  <c r="AA120"/>
  <c r="AA119"/>
  <c r="AA117"/>
  <c r="AA116"/>
  <c r="AA92"/>
  <c r="AA89"/>
  <c r="AA88"/>
  <c r="AA87"/>
  <c r="AA86"/>
  <c r="AA85"/>
  <c r="AA84"/>
  <c r="AA83"/>
  <c r="AA82"/>
  <c r="AA81"/>
  <c r="AA80"/>
  <c r="AA79"/>
  <c r="AA78"/>
  <c r="AA77"/>
  <c r="AA69"/>
  <c r="AA67"/>
  <c r="AA66"/>
  <c r="AA65"/>
  <c r="AA64"/>
  <c r="AA63"/>
  <c r="AA62"/>
  <c r="AA61"/>
  <c r="AA60"/>
  <c r="AA58"/>
  <c r="AA56"/>
  <c r="AA55"/>
  <c r="AA54"/>
  <c r="AA53"/>
  <c r="AA52"/>
  <c r="AA51"/>
  <c r="AA50"/>
  <c r="AA49"/>
  <c r="AA48"/>
  <c r="AA47"/>
  <c r="AA46"/>
  <c r="AA44"/>
  <c r="AA42"/>
  <c r="AA40"/>
  <c r="AA39"/>
  <c r="AA38"/>
  <c r="AA34"/>
  <c r="AA33"/>
  <c r="AA32"/>
  <c r="AA31"/>
  <c r="AA30"/>
  <c r="AA29"/>
  <c r="AA28"/>
  <c r="AA26"/>
  <c r="AA25"/>
  <c r="AA24"/>
  <c r="AA23"/>
  <c r="AA22"/>
  <c r="AA20"/>
  <c r="AA19"/>
  <c r="AA18"/>
  <c r="AC18"/>
  <c r="AA14"/>
  <c r="AA13"/>
  <c r="AC13"/>
  <c r="AA11"/>
  <c r="AA8"/>
  <c r="AA7"/>
  <c r="AA6"/>
  <c r="AC6"/>
  <c r="K144"/>
  <c r="I144"/>
  <c r="E144"/>
  <c r="C144"/>
  <c r="M144"/>
  <c r="Q144"/>
  <c r="Q23" i="20"/>
  <c r="S144" i="19"/>
  <c r="S23" i="20"/>
  <c r="U144" i="19"/>
  <c r="U23" i="20"/>
  <c r="Y144" i="19"/>
  <c r="Y23" i="20"/>
  <c r="AJ147" i="19"/>
  <c r="AJ148"/>
  <c r="AJ149"/>
  <c r="AC19"/>
  <c r="AA19" i="12"/>
  <c r="AA65"/>
  <c r="AC65"/>
  <c r="AC78"/>
  <c r="AA23" i="20"/>
  <c r="AC79" i="12"/>
  <c r="AC77"/>
  <c r="AC46"/>
  <c r="AC124" i="19"/>
  <c r="AC14"/>
  <c r="AC15"/>
  <c r="AC123"/>
  <c r="AC20"/>
  <c r="Y153" i="21"/>
  <c r="Y155"/>
  <c r="W155"/>
  <c r="AC67" i="19"/>
  <c r="AC69"/>
  <c r="AC68"/>
  <c r="AA59"/>
  <c r="AC8"/>
  <c r="G93"/>
  <c r="G24" i="20" s="1"/>
  <c r="K93" i="19"/>
  <c r="K24" i="20" s="1"/>
  <c r="AA15" i="19"/>
  <c r="AC7"/>
  <c r="AC11"/>
  <c r="AA144"/>
  <c r="AC22"/>
  <c r="AC23"/>
  <c r="AC24"/>
  <c r="AC25"/>
  <c r="AC26"/>
  <c r="AC28"/>
  <c r="AC29"/>
  <c r="AC30"/>
  <c r="AC31"/>
  <c r="AC32"/>
  <c r="AC33"/>
  <c r="AC34"/>
  <c r="AC38"/>
  <c r="AC39"/>
  <c r="AC40"/>
  <c r="AC42"/>
  <c r="AC44"/>
  <c r="AC46"/>
  <c r="AC47"/>
  <c r="AC48"/>
  <c r="AC49"/>
  <c r="AC50"/>
  <c r="AC51"/>
  <c r="AC52"/>
  <c r="AC53"/>
  <c r="AC54"/>
  <c r="AC55"/>
  <c r="AC56"/>
  <c r="AC57"/>
  <c r="AC58"/>
  <c r="AC60"/>
  <c r="AC61"/>
  <c r="AC62"/>
  <c r="AC63"/>
  <c r="AC64"/>
  <c r="AC65"/>
  <c r="AC66"/>
  <c r="AC77"/>
  <c r="AC78"/>
  <c r="AC79"/>
  <c r="AC80"/>
  <c r="AC81"/>
  <c r="AC82"/>
  <c r="AC83"/>
  <c r="AC84"/>
  <c r="AC85"/>
  <c r="AC86"/>
  <c r="AC87"/>
  <c r="AC88"/>
  <c r="AC89"/>
  <c r="AC92"/>
  <c r="AC116"/>
  <c r="AC117"/>
  <c r="AC119"/>
  <c r="AC120"/>
  <c r="AC121"/>
  <c r="AC122"/>
  <c r="AC125"/>
  <c r="AC127"/>
  <c r="AC128"/>
  <c r="AC133"/>
  <c r="AC136"/>
  <c r="AC137"/>
  <c r="AC138"/>
  <c r="AC139"/>
  <c r="AC140"/>
  <c r="AC141"/>
  <c r="AC142"/>
  <c r="AC143"/>
  <c r="AC148"/>
  <c r="AA41"/>
  <c r="AC150"/>
  <c r="AJ144"/>
  <c r="AC59"/>
  <c r="AC144"/>
  <c r="AC41"/>
  <c r="AA43"/>
  <c r="AA45"/>
  <c r="AA76"/>
  <c r="AC45"/>
  <c r="AC43"/>
  <c r="AC76"/>
  <c r="K12"/>
  <c r="I12"/>
  <c r="G12"/>
  <c r="E12"/>
  <c r="F68"/>
  <c r="F128"/>
  <c r="F127"/>
  <c r="F72"/>
  <c r="L128"/>
  <c r="L127"/>
  <c r="L72"/>
  <c r="L68"/>
  <c r="J127"/>
  <c r="J72"/>
  <c r="J68"/>
  <c r="J128"/>
  <c r="H72"/>
  <c r="H68"/>
  <c r="H128"/>
  <c r="H127"/>
  <c r="F26"/>
  <c r="F25"/>
  <c r="J26"/>
  <c r="J25"/>
  <c r="L26"/>
  <c r="L25"/>
  <c r="H26"/>
  <c r="H25"/>
  <c r="K17"/>
  <c r="L75"/>
  <c r="L122"/>
  <c r="L120"/>
  <c r="L125"/>
  <c r="L121"/>
  <c r="L119"/>
  <c r="J120"/>
  <c r="J121"/>
  <c r="J122"/>
  <c r="J75"/>
  <c r="J125"/>
  <c r="J119"/>
  <c r="H75"/>
  <c r="H122"/>
  <c r="H125"/>
  <c r="H121"/>
  <c r="H119"/>
  <c r="H120"/>
  <c r="F120"/>
  <c r="F125"/>
  <c r="F119"/>
  <c r="F75"/>
  <c r="F122"/>
  <c r="F121"/>
  <c r="J115"/>
  <c r="J116"/>
  <c r="J73"/>
  <c r="J71"/>
  <c r="J66"/>
  <c r="J70"/>
  <c r="H115"/>
  <c r="H116"/>
  <c r="H73"/>
  <c r="H70"/>
  <c r="H66"/>
  <c r="H71"/>
  <c r="L115"/>
  <c r="L116"/>
  <c r="L71"/>
  <c r="L73"/>
  <c r="L70"/>
  <c r="L66"/>
  <c r="F115"/>
  <c r="F116"/>
  <c r="F66"/>
  <c r="F70"/>
  <c r="F71"/>
  <c r="F73"/>
  <c r="L17"/>
  <c r="J17"/>
  <c r="H56"/>
  <c r="J76"/>
  <c r="H17"/>
  <c r="H76"/>
  <c r="F17"/>
  <c r="F76"/>
  <c r="L46"/>
  <c r="J46"/>
  <c r="H46"/>
  <c r="F46"/>
  <c r="F90"/>
  <c r="F69"/>
  <c r="J90"/>
  <c r="J69"/>
  <c r="H90"/>
  <c r="H69"/>
  <c r="L90"/>
  <c r="L69"/>
  <c r="AI76" i="1"/>
  <c r="J54" i="19"/>
  <c r="J82"/>
  <c r="J91"/>
  <c r="J142"/>
  <c r="H142"/>
  <c r="H82"/>
  <c r="H54"/>
  <c r="H91"/>
  <c r="L54"/>
  <c r="L82"/>
  <c r="L142"/>
  <c r="L91"/>
  <c r="F91"/>
  <c r="F82"/>
  <c r="F54"/>
  <c r="F142"/>
  <c r="AA5"/>
  <c r="L144"/>
  <c r="L148"/>
  <c r="L56"/>
  <c r="L45"/>
  <c r="K16"/>
  <c r="L51"/>
  <c r="L43"/>
  <c r="J148"/>
  <c r="J144"/>
  <c r="I16"/>
  <c r="I27"/>
  <c r="J27"/>
  <c r="J51"/>
  <c r="J56"/>
  <c r="J45"/>
  <c r="J43"/>
  <c r="H148"/>
  <c r="H144"/>
  <c r="G16"/>
  <c r="G27"/>
  <c r="H27"/>
  <c r="H51"/>
  <c r="H45"/>
  <c r="H43"/>
  <c r="F148"/>
  <c r="F144"/>
  <c r="F51"/>
  <c r="F56"/>
  <c r="F43"/>
  <c r="E16"/>
  <c r="E27"/>
  <c r="F27"/>
  <c r="F45"/>
  <c r="AI130" i="12"/>
  <c r="AI132"/>
  <c r="AI134"/>
  <c r="AI147"/>
  <c r="AI149"/>
  <c r="AI151"/>
  <c r="AF130"/>
  <c r="AF132"/>
  <c r="AF134"/>
  <c r="AF147"/>
  <c r="AF149"/>
  <c r="AF151"/>
  <c r="D128" i="19"/>
  <c r="D127"/>
  <c r="D72"/>
  <c r="D68"/>
  <c r="D26"/>
  <c r="D25"/>
  <c r="K126"/>
  <c r="L126"/>
  <c r="K27"/>
  <c r="L27"/>
  <c r="I126"/>
  <c r="J126"/>
  <c r="I19" i="20"/>
  <c r="G126" i="19"/>
  <c r="H126"/>
  <c r="G19" i="20"/>
  <c r="E126" i="19"/>
  <c r="F126"/>
  <c r="E19" i="20"/>
  <c r="D74" i="19"/>
  <c r="D75"/>
  <c r="D17"/>
  <c r="D125"/>
  <c r="D122"/>
  <c r="D121"/>
  <c r="D120"/>
  <c r="D119"/>
  <c r="K19" i="20"/>
  <c r="D115" i="19"/>
  <c r="D116"/>
  <c r="D73"/>
  <c r="D70"/>
  <c r="D71"/>
  <c r="D66"/>
  <c r="D76"/>
  <c r="D46"/>
  <c r="D90"/>
  <c r="D69"/>
  <c r="D54"/>
  <c r="D142"/>
  <c r="D82"/>
  <c r="D91"/>
  <c r="AB8"/>
  <c r="AC5"/>
  <c r="AB11"/>
  <c r="AB7"/>
  <c r="AB10"/>
  <c r="E21"/>
  <c r="I21"/>
  <c r="D144"/>
  <c r="D148"/>
  <c r="D56"/>
  <c r="D45"/>
  <c r="C16"/>
  <c r="C27"/>
  <c r="D27"/>
  <c r="D51"/>
  <c r="D43"/>
  <c r="G21"/>
  <c r="K21"/>
  <c r="C126"/>
  <c r="D126"/>
  <c r="C19" i="20"/>
  <c r="C21" i="19"/>
  <c r="E129"/>
  <c r="E145" s="1"/>
  <c r="K129"/>
  <c r="K145" s="1"/>
  <c r="I129"/>
  <c r="I145" s="1"/>
  <c r="G35"/>
  <c r="G36" s="1"/>
  <c r="G129"/>
  <c r="G145" s="1"/>
  <c r="AD8"/>
  <c r="AD11"/>
  <c r="AD7"/>
  <c r="AD10"/>
  <c r="K35"/>
  <c r="K36" s="1"/>
  <c r="E35"/>
  <c r="E36" s="1"/>
  <c r="I35"/>
  <c r="I36" s="1"/>
  <c r="AA150" i="1"/>
  <c r="AA150" i="5"/>
  <c r="AJ143" i="19"/>
  <c r="AJ142"/>
  <c r="AJ141"/>
  <c r="AJ140"/>
  <c r="AJ139"/>
  <c r="AJ138"/>
  <c r="AJ137"/>
  <c r="AJ136"/>
  <c r="AJ134"/>
  <c r="AJ133"/>
  <c r="AJ132"/>
  <c r="AJ130"/>
  <c r="AJ128"/>
  <c r="AJ127"/>
  <c r="AJ125"/>
  <c r="AJ124"/>
  <c r="AJ123"/>
  <c r="AJ122"/>
  <c r="AJ121"/>
  <c r="AJ120"/>
  <c r="AJ119"/>
  <c r="AJ117"/>
  <c r="AJ116"/>
  <c r="AJ107"/>
  <c r="AJ105"/>
  <c r="AJ103"/>
  <c r="AJ102"/>
  <c r="AJ101"/>
  <c r="AJ99"/>
  <c r="AJ98"/>
  <c r="AJ96"/>
  <c r="AJ95"/>
  <c r="AJ94"/>
  <c r="AJ92"/>
  <c r="S93"/>
  <c r="S24" i="20"/>
  <c r="U93" i="19"/>
  <c r="U24" i="20"/>
  <c r="Q93" i="19"/>
  <c r="Q24" i="20"/>
  <c r="O93" i="19"/>
  <c r="O24" i="20"/>
  <c r="M93" i="19"/>
  <c r="M24" i="20"/>
  <c r="AJ89" i="19"/>
  <c r="AJ88"/>
  <c r="AJ87"/>
  <c r="AJ86"/>
  <c r="AJ85"/>
  <c r="AJ84"/>
  <c r="AJ83"/>
  <c r="AJ82"/>
  <c r="AJ81"/>
  <c r="AJ80"/>
  <c r="AJ79"/>
  <c r="AJ78"/>
  <c r="AJ77"/>
  <c r="AJ69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2"/>
  <c r="Y41"/>
  <c r="W41"/>
  <c r="U41"/>
  <c r="S41"/>
  <c r="Q41"/>
  <c r="O41"/>
  <c r="M41"/>
  <c r="AJ40"/>
  <c r="AJ39"/>
  <c r="AJ38"/>
  <c r="AJ34"/>
  <c r="AJ33"/>
  <c r="AJ32"/>
  <c r="AJ31"/>
  <c r="AJ30"/>
  <c r="AJ29"/>
  <c r="AJ28"/>
  <c r="AJ26"/>
  <c r="AJ25"/>
  <c r="AJ24"/>
  <c r="AJ23"/>
  <c r="AJ22"/>
  <c r="AJ20"/>
  <c r="AJ19"/>
  <c r="AJ18"/>
  <c r="Y15"/>
  <c r="W15"/>
  <c r="U15"/>
  <c r="S15"/>
  <c r="Q15"/>
  <c r="O15"/>
  <c r="M15"/>
  <c r="AJ14"/>
  <c r="AJ13"/>
  <c r="AJ8"/>
  <c r="AJ7"/>
  <c r="AJ6"/>
  <c r="AN150" i="5"/>
  <c r="AC150" i="12"/>
  <c r="F7"/>
  <c r="F10"/>
  <c r="F9"/>
  <c r="F8"/>
  <c r="D9"/>
  <c r="D10"/>
  <c r="D11"/>
  <c r="D7"/>
  <c r="D8"/>
  <c r="Z9"/>
  <c r="Z10"/>
  <c r="Z7"/>
  <c r="Z11"/>
  <c r="Z8"/>
  <c r="AA90" i="19"/>
  <c r="C129"/>
  <c r="W93"/>
  <c r="W24" i="20" s="1"/>
  <c r="AA91" i="19"/>
  <c r="C35"/>
  <c r="AF125" i="12"/>
  <c r="AF121"/>
  <c r="AF116"/>
  <c r="AC150" i="5"/>
  <c r="AC150" i="1"/>
  <c r="AJ15" i="19"/>
  <c r="AJ97"/>
  <c r="Y93"/>
  <c r="Y24" i="20" s="1"/>
  <c r="AI150" i="12"/>
  <c r="AJ43" i="19"/>
  <c r="AF13" i="12"/>
  <c r="AF8"/>
  <c r="AF19"/>
  <c r="AF24"/>
  <c r="AF29"/>
  <c r="AF33"/>
  <c r="AF40"/>
  <c r="AF45"/>
  <c r="AF49"/>
  <c r="AF53"/>
  <c r="AF57"/>
  <c r="AF61"/>
  <c r="AF65"/>
  <c r="AF69"/>
  <c r="AF80"/>
  <c r="AF84"/>
  <c r="AF88"/>
  <c r="AF95"/>
  <c r="AF99"/>
  <c r="AF117"/>
  <c r="AF122"/>
  <c r="AF127"/>
  <c r="AF138"/>
  <c r="AF142"/>
  <c r="AF14"/>
  <c r="AF18"/>
  <c r="AF28"/>
  <c r="AF39"/>
  <c r="AF48"/>
  <c r="AF56"/>
  <c r="AF64"/>
  <c r="AF79"/>
  <c r="AF87"/>
  <c r="AF98"/>
  <c r="AF141"/>
  <c r="AF133"/>
  <c r="AF6"/>
  <c r="AF22"/>
  <c r="AF26"/>
  <c r="AF31"/>
  <c r="AF38"/>
  <c r="AF47"/>
  <c r="AF51"/>
  <c r="AF55"/>
  <c r="AF63"/>
  <c r="AF67"/>
  <c r="AF78"/>
  <c r="AF82"/>
  <c r="AF86"/>
  <c r="AF92"/>
  <c r="AF102"/>
  <c r="AF107"/>
  <c r="AF120"/>
  <c r="AF124"/>
  <c r="AF136"/>
  <c r="AF140"/>
  <c r="AF23"/>
  <c r="AF32"/>
  <c r="AF44"/>
  <c r="AF52"/>
  <c r="AF60"/>
  <c r="AF83"/>
  <c r="AF94"/>
  <c r="AF103"/>
  <c r="AF137"/>
  <c r="AF7"/>
  <c r="AF20"/>
  <c r="AF25"/>
  <c r="AF30"/>
  <c r="AF34"/>
  <c r="AF46"/>
  <c r="AF50"/>
  <c r="AF54"/>
  <c r="AF58"/>
  <c r="AF62"/>
  <c r="AF66"/>
  <c r="AF77"/>
  <c r="AF81"/>
  <c r="AF85"/>
  <c r="AF89"/>
  <c r="AF96"/>
  <c r="AF101"/>
  <c r="AF105"/>
  <c r="AF119"/>
  <c r="AF123"/>
  <c r="AF128"/>
  <c r="AF139"/>
  <c r="AF143"/>
  <c r="AF150"/>
  <c r="M12" i="19"/>
  <c r="Q12"/>
  <c r="U12"/>
  <c r="AJ5"/>
  <c r="AJ68"/>
  <c r="J93"/>
  <c r="AJ41"/>
  <c r="AJ104"/>
  <c r="AJ90"/>
  <c r="AJ91"/>
  <c r="N68"/>
  <c r="N128"/>
  <c r="N127"/>
  <c r="N72"/>
  <c r="R127"/>
  <c r="R72"/>
  <c r="R68"/>
  <c r="R128"/>
  <c r="V68"/>
  <c r="V128"/>
  <c r="V127"/>
  <c r="V72"/>
  <c r="R26"/>
  <c r="R25"/>
  <c r="V26"/>
  <c r="V25"/>
  <c r="N26"/>
  <c r="N25"/>
  <c r="V17"/>
  <c r="V120"/>
  <c r="V119"/>
  <c r="V75"/>
  <c r="V122"/>
  <c r="V121"/>
  <c r="V125"/>
  <c r="Q17"/>
  <c r="R17"/>
  <c r="R122"/>
  <c r="R125"/>
  <c r="R119"/>
  <c r="R121"/>
  <c r="R120"/>
  <c r="R75"/>
  <c r="N17"/>
  <c r="N125"/>
  <c r="N119"/>
  <c r="N122"/>
  <c r="N121"/>
  <c r="N75"/>
  <c r="N120"/>
  <c r="N115"/>
  <c r="N116"/>
  <c r="N70"/>
  <c r="N71"/>
  <c r="N66"/>
  <c r="N73"/>
  <c r="R115"/>
  <c r="R116"/>
  <c r="R66"/>
  <c r="R73"/>
  <c r="R71"/>
  <c r="R70"/>
  <c r="V115"/>
  <c r="V116"/>
  <c r="V71"/>
  <c r="V73"/>
  <c r="V66"/>
  <c r="V70"/>
  <c r="R46"/>
  <c r="V46"/>
  <c r="N46"/>
  <c r="R90"/>
  <c r="R69"/>
  <c r="V69"/>
  <c r="N69"/>
  <c r="V9" i="12"/>
  <c r="V10"/>
  <c r="V7"/>
  <c r="V8"/>
  <c r="V11"/>
  <c r="X7"/>
  <c r="X8"/>
  <c r="X10"/>
  <c r="X11"/>
  <c r="X9"/>
  <c r="N93" i="19"/>
  <c r="N90"/>
  <c r="V90"/>
  <c r="AJ93"/>
  <c r="N91"/>
  <c r="N54"/>
  <c r="N82"/>
  <c r="N142"/>
  <c r="R54"/>
  <c r="R82"/>
  <c r="R91"/>
  <c r="R142"/>
  <c r="V82"/>
  <c r="V54"/>
  <c r="V91"/>
  <c r="V142"/>
  <c r="N148"/>
  <c r="N144"/>
  <c r="N51"/>
  <c r="N56"/>
  <c r="N45"/>
  <c r="N43"/>
  <c r="V93"/>
  <c r="V148"/>
  <c r="V144"/>
  <c r="V51"/>
  <c r="V56"/>
  <c r="V43"/>
  <c r="V45"/>
  <c r="AC91"/>
  <c r="AA9"/>
  <c r="R148"/>
  <c r="R144"/>
  <c r="R51"/>
  <c r="R43"/>
  <c r="R56"/>
  <c r="R45"/>
  <c r="AC90"/>
  <c r="AA93"/>
  <c r="C145"/>
  <c r="C21" i="20" s="1"/>
  <c r="C36" i="19"/>
  <c r="AF104" i="12"/>
  <c r="N76" i="19"/>
  <c r="R93"/>
  <c r="AF97" i="12"/>
  <c r="R76" i="19"/>
  <c r="V76"/>
  <c r="AF15" i="12"/>
  <c r="AF41"/>
  <c r="D143" i="19"/>
  <c r="D141"/>
  <c r="D140"/>
  <c r="D139"/>
  <c r="D138"/>
  <c r="D137"/>
  <c r="D136"/>
  <c r="D92"/>
  <c r="D89"/>
  <c r="D87"/>
  <c r="D86"/>
  <c r="D58"/>
  <c r="D57"/>
  <c r="D52"/>
  <c r="D50"/>
  <c r="D49"/>
  <c r="D48"/>
  <c r="D47"/>
  <c r="D44"/>
  <c r="D42"/>
  <c r="D40"/>
  <c r="D39"/>
  <c r="D38"/>
  <c r="D34"/>
  <c r="D33"/>
  <c r="D32"/>
  <c r="D85"/>
  <c r="D84"/>
  <c r="D83"/>
  <c r="D81"/>
  <c r="D80"/>
  <c r="D79"/>
  <c r="D78"/>
  <c r="D77"/>
  <c r="D65"/>
  <c r="D64"/>
  <c r="D63"/>
  <c r="D62"/>
  <c r="D61"/>
  <c r="D60"/>
  <c r="D41"/>
  <c r="D31"/>
  <c r="D29"/>
  <c r="D23"/>
  <c r="D22"/>
  <c r="D19"/>
  <c r="D12"/>
  <c r="D30"/>
  <c r="D28"/>
  <c r="D24"/>
  <c r="D93"/>
  <c r="AJ115"/>
  <c r="AJ76"/>
  <c r="AJ11"/>
  <c r="J129"/>
  <c r="J53"/>
  <c r="W12"/>
  <c r="S12"/>
  <c r="O12"/>
  <c r="L129"/>
  <c r="AJ9"/>
  <c r="D129"/>
  <c r="D53"/>
  <c r="V143"/>
  <c r="V141"/>
  <c r="V140"/>
  <c r="V139"/>
  <c r="V138"/>
  <c r="V137"/>
  <c r="V136"/>
  <c r="V89"/>
  <c r="V92"/>
  <c r="V86"/>
  <c r="V85"/>
  <c r="V84"/>
  <c r="V83"/>
  <c r="V81"/>
  <c r="V80"/>
  <c r="V79"/>
  <c r="V78"/>
  <c r="V77"/>
  <c r="V65"/>
  <c r="V64"/>
  <c r="V63"/>
  <c r="V62"/>
  <c r="V61"/>
  <c r="V60"/>
  <c r="V87"/>
  <c r="V58"/>
  <c r="V57"/>
  <c r="V52"/>
  <c r="V50"/>
  <c r="V49"/>
  <c r="V48"/>
  <c r="V47"/>
  <c r="V44"/>
  <c r="V42"/>
  <c r="V41"/>
  <c r="V39"/>
  <c r="V38"/>
  <c r="V34"/>
  <c r="V33"/>
  <c r="V32"/>
  <c r="V31"/>
  <c r="V30"/>
  <c r="V29"/>
  <c r="V28"/>
  <c r="V24"/>
  <c r="U16"/>
  <c r="U27"/>
  <c r="V27"/>
  <c r="V12"/>
  <c r="V23"/>
  <c r="V22"/>
  <c r="V19"/>
  <c r="R143"/>
  <c r="R141"/>
  <c r="R140"/>
  <c r="R139"/>
  <c r="R138"/>
  <c r="R137"/>
  <c r="R136"/>
  <c r="R89"/>
  <c r="R92"/>
  <c r="R87"/>
  <c r="R85"/>
  <c r="R84"/>
  <c r="R83"/>
  <c r="R81"/>
  <c r="R80"/>
  <c r="R79"/>
  <c r="R78"/>
  <c r="R77"/>
  <c r="R65"/>
  <c r="R64"/>
  <c r="R63"/>
  <c r="R62"/>
  <c r="R61"/>
  <c r="R60"/>
  <c r="R86"/>
  <c r="R58"/>
  <c r="R57"/>
  <c r="R52"/>
  <c r="R50"/>
  <c r="R49"/>
  <c r="R48"/>
  <c r="R47"/>
  <c r="R44"/>
  <c r="R42"/>
  <c r="R41"/>
  <c r="R40"/>
  <c r="R39"/>
  <c r="R38"/>
  <c r="R34"/>
  <c r="R33"/>
  <c r="R32"/>
  <c r="R31"/>
  <c r="R30"/>
  <c r="R29"/>
  <c r="R28"/>
  <c r="R24"/>
  <c r="Q16"/>
  <c r="R12"/>
  <c r="R23"/>
  <c r="R22"/>
  <c r="R19"/>
  <c r="N143"/>
  <c r="N141"/>
  <c r="N140"/>
  <c r="N139"/>
  <c r="N138"/>
  <c r="N137"/>
  <c r="N136"/>
  <c r="N89"/>
  <c r="N92"/>
  <c r="N86"/>
  <c r="N85"/>
  <c r="N84"/>
  <c r="N83"/>
  <c r="N81"/>
  <c r="N80"/>
  <c r="N79"/>
  <c r="N78"/>
  <c r="N77"/>
  <c r="N65"/>
  <c r="N64"/>
  <c r="N63"/>
  <c r="N62"/>
  <c r="N61"/>
  <c r="N60"/>
  <c r="N87"/>
  <c r="N58"/>
  <c r="N57"/>
  <c r="N52"/>
  <c r="N50"/>
  <c r="N49"/>
  <c r="N48"/>
  <c r="N47"/>
  <c r="N44"/>
  <c r="N42"/>
  <c r="N41"/>
  <c r="N40"/>
  <c r="N39"/>
  <c r="N38"/>
  <c r="N34"/>
  <c r="N33"/>
  <c r="N32"/>
  <c r="N31"/>
  <c r="N30"/>
  <c r="N29"/>
  <c r="N28"/>
  <c r="N24"/>
  <c r="M16"/>
  <c r="M27"/>
  <c r="N27"/>
  <c r="N12"/>
  <c r="N23"/>
  <c r="N22"/>
  <c r="N19"/>
  <c r="J143"/>
  <c r="J141"/>
  <c r="J140"/>
  <c r="J139"/>
  <c r="J138"/>
  <c r="J137"/>
  <c r="J136"/>
  <c r="J89"/>
  <c r="J92"/>
  <c r="J87"/>
  <c r="J85"/>
  <c r="J84"/>
  <c r="J83"/>
  <c r="J81"/>
  <c r="J80"/>
  <c r="J79"/>
  <c r="J78"/>
  <c r="J77"/>
  <c r="J65"/>
  <c r="J64"/>
  <c r="J63"/>
  <c r="J62"/>
  <c r="J61"/>
  <c r="J60"/>
  <c r="J86"/>
  <c r="J58"/>
  <c r="J57"/>
  <c r="J52"/>
  <c r="J50"/>
  <c r="J49"/>
  <c r="J48"/>
  <c r="J47"/>
  <c r="J44"/>
  <c r="J42"/>
  <c r="J41"/>
  <c r="J40"/>
  <c r="J39"/>
  <c r="J38"/>
  <c r="J34"/>
  <c r="J33"/>
  <c r="J32"/>
  <c r="J31"/>
  <c r="J30"/>
  <c r="J29"/>
  <c r="J28"/>
  <c r="J24"/>
  <c r="J12"/>
  <c r="J23"/>
  <c r="J22"/>
  <c r="J19"/>
  <c r="Y12"/>
  <c r="F129"/>
  <c r="AA141" i="5"/>
  <c r="AA141" i="1"/>
  <c r="Z127" i="19"/>
  <c r="Z72"/>
  <c r="Z68"/>
  <c r="Z128"/>
  <c r="T128"/>
  <c r="T127"/>
  <c r="T72"/>
  <c r="T68"/>
  <c r="P72"/>
  <c r="P68"/>
  <c r="P128"/>
  <c r="P127"/>
  <c r="X72"/>
  <c r="X68"/>
  <c r="X128"/>
  <c r="X127"/>
  <c r="Q126"/>
  <c r="R126"/>
  <c r="Q27"/>
  <c r="R27"/>
  <c r="T26"/>
  <c r="T25"/>
  <c r="Z26"/>
  <c r="Z25"/>
  <c r="P26"/>
  <c r="P25"/>
  <c r="X26"/>
  <c r="X25"/>
  <c r="Z121"/>
  <c r="Z122"/>
  <c r="Z75"/>
  <c r="Z125"/>
  <c r="Z119"/>
  <c r="Z120"/>
  <c r="X75"/>
  <c r="X122"/>
  <c r="X120"/>
  <c r="X125"/>
  <c r="X121"/>
  <c r="X119"/>
  <c r="U126"/>
  <c r="V126"/>
  <c r="U19" i="20"/>
  <c r="T75" i="19"/>
  <c r="T17"/>
  <c r="T120"/>
  <c r="T122"/>
  <c r="T125"/>
  <c r="T121"/>
  <c r="T119"/>
  <c r="P75"/>
  <c r="P125"/>
  <c r="P121"/>
  <c r="P119"/>
  <c r="P122"/>
  <c r="P120"/>
  <c r="M126"/>
  <c r="N126"/>
  <c r="M19" i="20"/>
  <c r="C37" i="19"/>
  <c r="C131" s="1"/>
  <c r="C20" i="20"/>
  <c r="Q19"/>
  <c r="AN141" i="5"/>
  <c r="AC141" i="12"/>
  <c r="X17" i="19"/>
  <c r="X115"/>
  <c r="X116"/>
  <c r="X73"/>
  <c r="X70"/>
  <c r="X66"/>
  <c r="X71"/>
  <c r="T115"/>
  <c r="T116"/>
  <c r="T73"/>
  <c r="T70"/>
  <c r="T71"/>
  <c r="T66"/>
  <c r="Z17"/>
  <c r="Z115"/>
  <c r="Z116"/>
  <c r="Z66"/>
  <c r="Z70"/>
  <c r="Z73"/>
  <c r="Z71"/>
  <c r="P115"/>
  <c r="P116"/>
  <c r="P71"/>
  <c r="P70"/>
  <c r="P66"/>
  <c r="P73"/>
  <c r="P17"/>
  <c r="X43"/>
  <c r="P46"/>
  <c r="Z46"/>
  <c r="X46"/>
  <c r="T46"/>
  <c r="P90"/>
  <c r="P69"/>
  <c r="Z90"/>
  <c r="Z69"/>
  <c r="T90"/>
  <c r="T69"/>
  <c r="X90"/>
  <c r="X69"/>
  <c r="T7" i="12"/>
  <c r="T8"/>
  <c r="T11"/>
  <c r="T10"/>
  <c r="T9"/>
  <c r="R11"/>
  <c r="R7"/>
  <c r="R9"/>
  <c r="R10"/>
  <c r="R8"/>
  <c r="P8"/>
  <c r="P11"/>
  <c r="P7"/>
  <c r="P10"/>
  <c r="P9"/>
  <c r="N11"/>
  <c r="N9"/>
  <c r="N7"/>
  <c r="N10"/>
  <c r="N8"/>
  <c r="L8"/>
  <c r="L10"/>
  <c r="L7"/>
  <c r="L11"/>
  <c r="L9"/>
  <c r="J11"/>
  <c r="J7"/>
  <c r="J8"/>
  <c r="J10"/>
  <c r="J9"/>
  <c r="H10"/>
  <c r="H7"/>
  <c r="H11"/>
  <c r="H8"/>
  <c r="H9"/>
  <c r="T54" i="19"/>
  <c r="T142"/>
  <c r="T82"/>
  <c r="T91"/>
  <c r="P54"/>
  <c r="P142"/>
  <c r="P82"/>
  <c r="P91"/>
  <c r="Z82"/>
  <c r="Z91"/>
  <c r="Z142"/>
  <c r="X82"/>
  <c r="X54"/>
  <c r="X91"/>
  <c r="X142"/>
  <c r="AC9"/>
  <c r="AB9"/>
  <c r="T148"/>
  <c r="T144"/>
  <c r="T56"/>
  <c r="T45"/>
  <c r="T51"/>
  <c r="T43"/>
  <c r="AC93"/>
  <c r="P148"/>
  <c r="P144"/>
  <c r="P56"/>
  <c r="P51"/>
  <c r="P45"/>
  <c r="P43"/>
  <c r="D145"/>
  <c r="Z148"/>
  <c r="Z144"/>
  <c r="Z51"/>
  <c r="Z45"/>
  <c r="Z56"/>
  <c r="Z43"/>
  <c r="X148"/>
  <c r="X144"/>
  <c r="X51"/>
  <c r="X45"/>
  <c r="X56"/>
  <c r="AC141" i="1"/>
  <c r="AI141" i="12"/>
  <c r="AF10"/>
  <c r="AF5"/>
  <c r="AC141" i="5"/>
  <c r="Z143" i="19"/>
  <c r="Z141"/>
  <c r="Z140"/>
  <c r="Z139"/>
  <c r="Z138"/>
  <c r="Z137"/>
  <c r="Z136"/>
  <c r="Z89"/>
  <c r="Z88"/>
  <c r="Z92"/>
  <c r="Z87"/>
  <c r="Z85"/>
  <c r="Z84"/>
  <c r="Z83"/>
  <c r="Z81"/>
  <c r="Z80"/>
  <c r="Z79"/>
  <c r="Z78"/>
  <c r="Z77"/>
  <c r="Z65"/>
  <c r="Z64"/>
  <c r="Z63"/>
  <c r="Z62"/>
  <c r="Z61"/>
  <c r="Z60"/>
  <c r="Z86"/>
  <c r="Z58"/>
  <c r="Z57"/>
  <c r="Z54"/>
  <c r="Z52"/>
  <c r="Z50"/>
  <c r="Z49"/>
  <c r="Z48"/>
  <c r="Z47"/>
  <c r="Z44"/>
  <c r="Z42"/>
  <c r="Z41"/>
  <c r="Z40"/>
  <c r="Z39"/>
  <c r="Z38"/>
  <c r="Z34"/>
  <c r="Z33"/>
  <c r="Z32"/>
  <c r="Z31"/>
  <c r="Z30"/>
  <c r="Z29"/>
  <c r="Z28"/>
  <c r="Z24"/>
  <c r="Y16"/>
  <c r="Y27"/>
  <c r="Z27"/>
  <c r="Z12"/>
  <c r="Z23"/>
  <c r="Z22"/>
  <c r="Z19"/>
  <c r="Z76"/>
  <c r="Z93"/>
  <c r="N16"/>
  <c r="R16"/>
  <c r="V40"/>
  <c r="V16"/>
  <c r="H143"/>
  <c r="H141"/>
  <c r="H140"/>
  <c r="H139"/>
  <c r="H138"/>
  <c r="H137"/>
  <c r="H92"/>
  <c r="H136"/>
  <c r="H89"/>
  <c r="H87"/>
  <c r="H86"/>
  <c r="H58"/>
  <c r="H57"/>
  <c r="H52"/>
  <c r="H50"/>
  <c r="H49"/>
  <c r="H48"/>
  <c r="H47"/>
  <c r="H44"/>
  <c r="H42"/>
  <c r="H40"/>
  <c r="H39"/>
  <c r="H38"/>
  <c r="H34"/>
  <c r="H33"/>
  <c r="H32"/>
  <c r="H85"/>
  <c r="H84"/>
  <c r="H83"/>
  <c r="H81"/>
  <c r="H80"/>
  <c r="H79"/>
  <c r="H78"/>
  <c r="H77"/>
  <c r="H65"/>
  <c r="H64"/>
  <c r="H63"/>
  <c r="H62"/>
  <c r="H61"/>
  <c r="H60"/>
  <c r="H41"/>
  <c r="H30"/>
  <c r="H28"/>
  <c r="H24"/>
  <c r="H23"/>
  <c r="H22"/>
  <c r="H19"/>
  <c r="H12"/>
  <c r="H31"/>
  <c r="H29"/>
  <c r="H93"/>
  <c r="P143"/>
  <c r="P141"/>
  <c r="P140"/>
  <c r="P139"/>
  <c r="P138"/>
  <c r="P137"/>
  <c r="P92"/>
  <c r="P136"/>
  <c r="P89"/>
  <c r="P87"/>
  <c r="P86"/>
  <c r="P58"/>
  <c r="P57"/>
  <c r="P52"/>
  <c r="P50"/>
  <c r="P49"/>
  <c r="P48"/>
  <c r="P47"/>
  <c r="P44"/>
  <c r="P42"/>
  <c r="P39"/>
  <c r="P38"/>
  <c r="P34"/>
  <c r="P33"/>
  <c r="P32"/>
  <c r="P85"/>
  <c r="P84"/>
  <c r="P83"/>
  <c r="P81"/>
  <c r="P80"/>
  <c r="P79"/>
  <c r="P78"/>
  <c r="P77"/>
  <c r="P65"/>
  <c r="P64"/>
  <c r="P63"/>
  <c r="P62"/>
  <c r="P61"/>
  <c r="P60"/>
  <c r="P41"/>
  <c r="P30"/>
  <c r="P28"/>
  <c r="P24"/>
  <c r="P23"/>
  <c r="P22"/>
  <c r="P19"/>
  <c r="O16"/>
  <c r="P12"/>
  <c r="P31"/>
  <c r="P29"/>
  <c r="P76"/>
  <c r="P93"/>
  <c r="X143"/>
  <c r="X141"/>
  <c r="X140"/>
  <c r="X139"/>
  <c r="X138"/>
  <c r="X137"/>
  <c r="X92"/>
  <c r="X136"/>
  <c r="X89"/>
  <c r="X87"/>
  <c r="X86"/>
  <c r="X58"/>
  <c r="X57"/>
  <c r="X52"/>
  <c r="X50"/>
  <c r="X49"/>
  <c r="X48"/>
  <c r="X47"/>
  <c r="X44"/>
  <c r="X42"/>
  <c r="X40"/>
  <c r="X39"/>
  <c r="X38"/>
  <c r="X34"/>
  <c r="X33"/>
  <c r="X32"/>
  <c r="X85"/>
  <c r="X84"/>
  <c r="X83"/>
  <c r="X81"/>
  <c r="X80"/>
  <c r="X79"/>
  <c r="X78"/>
  <c r="X77"/>
  <c r="X65"/>
  <c r="X64"/>
  <c r="X63"/>
  <c r="X62"/>
  <c r="X61"/>
  <c r="X60"/>
  <c r="X41"/>
  <c r="X30"/>
  <c r="X28"/>
  <c r="X24"/>
  <c r="X23"/>
  <c r="X22"/>
  <c r="X19"/>
  <c r="W16"/>
  <c r="W27"/>
  <c r="X27"/>
  <c r="X12"/>
  <c r="X31"/>
  <c r="X29"/>
  <c r="X76"/>
  <c r="X93"/>
  <c r="D16"/>
  <c r="H129"/>
  <c r="F143"/>
  <c r="F141"/>
  <c r="F140"/>
  <c r="F139"/>
  <c r="F138"/>
  <c r="F137"/>
  <c r="F136"/>
  <c r="F89"/>
  <c r="F92"/>
  <c r="F86"/>
  <c r="F85"/>
  <c r="F84"/>
  <c r="F83"/>
  <c r="F81"/>
  <c r="F80"/>
  <c r="F79"/>
  <c r="F78"/>
  <c r="F77"/>
  <c r="F65"/>
  <c r="F64"/>
  <c r="F63"/>
  <c r="F62"/>
  <c r="F61"/>
  <c r="F60"/>
  <c r="F87"/>
  <c r="F58"/>
  <c r="F57"/>
  <c r="F52"/>
  <c r="F50"/>
  <c r="F49"/>
  <c r="F48"/>
  <c r="F47"/>
  <c r="F44"/>
  <c r="F42"/>
  <c r="F41"/>
  <c r="F40"/>
  <c r="F39"/>
  <c r="F38"/>
  <c r="F34"/>
  <c r="F33"/>
  <c r="F32"/>
  <c r="F31"/>
  <c r="F30"/>
  <c r="F29"/>
  <c r="F28"/>
  <c r="F24"/>
  <c r="F12"/>
  <c r="F23"/>
  <c r="F22"/>
  <c r="F19"/>
  <c r="F93"/>
  <c r="J35"/>
  <c r="J16"/>
  <c r="M21"/>
  <c r="Q21"/>
  <c r="U21"/>
  <c r="L143"/>
  <c r="L141"/>
  <c r="L140"/>
  <c r="L139"/>
  <c r="L138"/>
  <c r="L137"/>
  <c r="L136"/>
  <c r="L92"/>
  <c r="L89"/>
  <c r="L87"/>
  <c r="L86"/>
  <c r="L58"/>
  <c r="L57"/>
  <c r="L52"/>
  <c r="L50"/>
  <c r="L49"/>
  <c r="L48"/>
  <c r="L47"/>
  <c r="L44"/>
  <c r="L42"/>
  <c r="L40"/>
  <c r="L39"/>
  <c r="L38"/>
  <c r="L34"/>
  <c r="L33"/>
  <c r="L32"/>
  <c r="L85"/>
  <c r="L84"/>
  <c r="L83"/>
  <c r="L81"/>
  <c r="L80"/>
  <c r="L79"/>
  <c r="L78"/>
  <c r="L77"/>
  <c r="L65"/>
  <c r="L64"/>
  <c r="L63"/>
  <c r="L62"/>
  <c r="L61"/>
  <c r="L60"/>
  <c r="L41"/>
  <c r="L31"/>
  <c r="L29"/>
  <c r="L23"/>
  <c r="L22"/>
  <c r="L19"/>
  <c r="L12"/>
  <c r="L30"/>
  <c r="L28"/>
  <c r="L24"/>
  <c r="L76"/>
  <c r="L93"/>
  <c r="T143"/>
  <c r="T141"/>
  <c r="T140"/>
  <c r="T139"/>
  <c r="T138"/>
  <c r="T137"/>
  <c r="T136"/>
  <c r="T92"/>
  <c r="T89"/>
  <c r="T87"/>
  <c r="T86"/>
  <c r="T58"/>
  <c r="T57"/>
  <c r="T52"/>
  <c r="T50"/>
  <c r="T49"/>
  <c r="T48"/>
  <c r="T47"/>
  <c r="T44"/>
  <c r="T42"/>
  <c r="T40"/>
  <c r="T39"/>
  <c r="T38"/>
  <c r="T34"/>
  <c r="T33"/>
  <c r="T32"/>
  <c r="T85"/>
  <c r="T84"/>
  <c r="T83"/>
  <c r="T81"/>
  <c r="T80"/>
  <c r="T79"/>
  <c r="T78"/>
  <c r="T77"/>
  <c r="T65"/>
  <c r="T64"/>
  <c r="T63"/>
  <c r="T62"/>
  <c r="T61"/>
  <c r="T60"/>
  <c r="T41"/>
  <c r="T31"/>
  <c r="T29"/>
  <c r="T23"/>
  <c r="T22"/>
  <c r="T19"/>
  <c r="S16"/>
  <c r="T12"/>
  <c r="T30"/>
  <c r="T28"/>
  <c r="T24"/>
  <c r="T76"/>
  <c r="T93"/>
  <c r="AH12"/>
  <c r="H53"/>
  <c r="L53"/>
  <c r="F53"/>
  <c r="AJ12"/>
  <c r="Q12" i="1"/>
  <c r="AB68" i="19"/>
  <c r="AB118"/>
  <c r="AB117"/>
  <c r="R128" i="1"/>
  <c r="R65"/>
  <c r="O126" i="19"/>
  <c r="P126"/>
  <c r="O27"/>
  <c r="P27"/>
  <c r="S126"/>
  <c r="T126"/>
  <c r="S27"/>
  <c r="T27"/>
  <c r="Y126"/>
  <c r="Z126"/>
  <c r="Y19" i="20"/>
  <c r="W126" i="19"/>
  <c r="X126"/>
  <c r="W19" i="20"/>
  <c r="S19"/>
  <c r="O19"/>
  <c r="R115" i="1"/>
  <c r="AB115" i="19"/>
  <c r="R68" i="1"/>
  <c r="AB73" i="19"/>
  <c r="AB71"/>
  <c r="AB75"/>
  <c r="AB72"/>
  <c r="AB70"/>
  <c r="R73" i="1"/>
  <c r="R71"/>
  <c r="R69"/>
  <c r="R76"/>
  <c r="R75"/>
  <c r="R72"/>
  <c r="R70"/>
  <c r="AI12"/>
  <c r="R46"/>
  <c r="AB93" i="19"/>
  <c r="AB67"/>
  <c r="AB69"/>
  <c r="R92" i="1"/>
  <c r="R56"/>
  <c r="U35" i="19"/>
  <c r="V35" s="1"/>
  <c r="AJ17"/>
  <c r="Q35"/>
  <c r="R35" s="1"/>
  <c r="AA17"/>
  <c r="AC17"/>
  <c r="Q129"/>
  <c r="M35"/>
  <c r="M36" s="1"/>
  <c r="AB34"/>
  <c r="AB54"/>
  <c r="AB79"/>
  <c r="AB140"/>
  <c r="AB33"/>
  <c r="AB57"/>
  <c r="AB82"/>
  <c r="AB133"/>
  <c r="AB39"/>
  <c r="AB31"/>
  <c r="AB51"/>
  <c r="AB80"/>
  <c r="AB127"/>
  <c r="AB48"/>
  <c r="AB64"/>
  <c r="AB89"/>
  <c r="AB116"/>
  <c r="AB142"/>
  <c r="AB26"/>
  <c r="AB62"/>
  <c r="AB119"/>
  <c r="AB65"/>
  <c r="AB122"/>
  <c r="AB28"/>
  <c r="AB12"/>
  <c r="AB88"/>
  <c r="AB141"/>
  <c r="AB81"/>
  <c r="AB128"/>
  <c r="AB22"/>
  <c r="AB58"/>
  <c r="AB83"/>
  <c r="AB148"/>
  <c r="AB86"/>
  <c r="AB24"/>
  <c r="AB19"/>
  <c r="AB38"/>
  <c r="AB84"/>
  <c r="AB137"/>
  <c r="AB77"/>
  <c r="AB121"/>
  <c r="AB30"/>
  <c r="AB50"/>
  <c r="AB66"/>
  <c r="AB136"/>
  <c r="AB29"/>
  <c r="AB53"/>
  <c r="AB78"/>
  <c r="AB125"/>
  <c r="AB32"/>
  <c r="AA16"/>
  <c r="AB47"/>
  <c r="AB63"/>
  <c r="AB92"/>
  <c r="AB120"/>
  <c r="AB44"/>
  <c r="AB60"/>
  <c r="AB85"/>
  <c r="AB138"/>
  <c r="AB46"/>
  <c r="AB87"/>
  <c r="AB25"/>
  <c r="AB49"/>
  <c r="AB143"/>
  <c r="AB23"/>
  <c r="AB59"/>
  <c r="AB56"/>
  <c r="AB42"/>
  <c r="AB40"/>
  <c r="AB61"/>
  <c r="AB139"/>
  <c r="AB55"/>
  <c r="AB52"/>
  <c r="AB144"/>
  <c r="AB41"/>
  <c r="AB45"/>
  <c r="AB43"/>
  <c r="AB76"/>
  <c r="AB91"/>
  <c r="AB90"/>
  <c r="U129"/>
  <c r="M129"/>
  <c r="AD9"/>
  <c r="AD118"/>
  <c r="R19" i="1"/>
  <c r="AF90" i="12"/>
  <c r="AF59"/>
  <c r="AF9"/>
  <c r="AF91"/>
  <c r="S21" i="19"/>
  <c r="V21"/>
  <c r="R21"/>
  <c r="N21"/>
  <c r="X16"/>
  <c r="O21"/>
  <c r="AJ21" s="1"/>
  <c r="H35"/>
  <c r="Y21"/>
  <c r="D21"/>
  <c r="T16"/>
  <c r="L16"/>
  <c r="L35"/>
  <c r="F35"/>
  <c r="F16"/>
  <c r="D35"/>
  <c r="W21"/>
  <c r="W35"/>
  <c r="X35" s="1"/>
  <c r="P40"/>
  <c r="P16"/>
  <c r="H16"/>
  <c r="J21"/>
  <c r="Z16"/>
  <c r="AJ16"/>
  <c r="R141" i="1"/>
  <c r="R17"/>
  <c r="AA19" i="20"/>
  <c r="AJ27" i="19"/>
  <c r="AD115"/>
  <c r="AI17" i="1"/>
  <c r="AD75" i="19"/>
  <c r="AD72"/>
  <c r="AD70"/>
  <c r="AD73"/>
  <c r="AD71"/>
  <c r="AD93"/>
  <c r="AD67"/>
  <c r="AD69"/>
  <c r="AD68"/>
  <c r="U36"/>
  <c r="U20" i="20" s="1"/>
  <c r="AA21" i="19"/>
  <c r="AB21" s="1"/>
  <c r="Y35"/>
  <c r="Z35" s="1"/>
  <c r="AB17"/>
  <c r="S35"/>
  <c r="S36" s="1"/>
  <c r="Q36"/>
  <c r="Q20" i="20"/>
  <c r="O35" i="19"/>
  <c r="P35" s="1"/>
  <c r="O129"/>
  <c r="Y129"/>
  <c r="AJ126"/>
  <c r="AC16"/>
  <c r="AD12"/>
  <c r="AD19"/>
  <c r="AD120"/>
  <c r="AD26"/>
  <c r="AD44"/>
  <c r="AD22"/>
  <c r="AD121"/>
  <c r="AD34"/>
  <c r="AD48"/>
  <c r="AD42"/>
  <c r="AD65"/>
  <c r="AD92"/>
  <c r="AD127"/>
  <c r="AD59"/>
  <c r="AD79"/>
  <c r="AD88"/>
  <c r="AD128"/>
  <c r="AD78"/>
  <c r="AD32"/>
  <c r="AD116"/>
  <c r="AD142"/>
  <c r="AD143"/>
  <c r="AD83"/>
  <c r="AD40"/>
  <c r="AD58"/>
  <c r="AD137"/>
  <c r="AD63"/>
  <c r="AD47"/>
  <c r="AD139"/>
  <c r="AD87"/>
  <c r="AD33"/>
  <c r="AD54"/>
  <c r="AD138"/>
  <c r="AD82"/>
  <c r="AD56"/>
  <c r="AD39"/>
  <c r="AD136"/>
  <c r="AD38"/>
  <c r="AD49"/>
  <c r="AD66"/>
  <c r="AD141"/>
  <c r="AD81"/>
  <c r="AD51"/>
  <c r="AD53"/>
  <c r="AD148"/>
  <c r="AD62"/>
  <c r="AD117"/>
  <c r="AD86"/>
  <c r="AD60"/>
  <c r="AD24"/>
  <c r="AD119"/>
  <c r="AD57"/>
  <c r="AD140"/>
  <c r="AD84"/>
  <c r="AD30"/>
  <c r="AD85"/>
  <c r="AD55"/>
  <c r="AD23"/>
  <c r="AD61"/>
  <c r="AD80"/>
  <c r="AD122"/>
  <c r="AD64"/>
  <c r="AD28"/>
  <c r="AD77"/>
  <c r="AD133"/>
  <c r="AD25"/>
  <c r="AD50"/>
  <c r="AD89"/>
  <c r="AD31"/>
  <c r="AD125"/>
  <c r="AD29"/>
  <c r="AD46"/>
  <c r="AD52"/>
  <c r="AD144"/>
  <c r="AD41"/>
  <c r="AD43"/>
  <c r="AD45"/>
  <c r="AD76"/>
  <c r="AD91"/>
  <c r="AD90"/>
  <c r="S129"/>
  <c r="W129"/>
  <c r="Q145"/>
  <c r="Q21" i="20" s="1"/>
  <c r="R53" i="19"/>
  <c r="R129"/>
  <c r="M145"/>
  <c r="M21" i="20" s="1"/>
  <c r="N129" i="19"/>
  <c r="N53"/>
  <c r="U145"/>
  <c r="V145" s="1"/>
  <c r="V129"/>
  <c r="V53"/>
  <c r="AB16"/>
  <c r="AC21"/>
  <c r="AD21" s="1"/>
  <c r="AD17"/>
  <c r="N35"/>
  <c r="AA126"/>
  <c r="AA27"/>
  <c r="AF43" i="12"/>
  <c r="W36" i="19"/>
  <c r="X36" s="1"/>
  <c r="W20" i="20"/>
  <c r="X21" i="19"/>
  <c r="D36"/>
  <c r="Z21"/>
  <c r="H21"/>
  <c r="F21"/>
  <c r="L21"/>
  <c r="T21"/>
  <c r="N6" i="12"/>
  <c r="P6"/>
  <c r="R6"/>
  <c r="L6"/>
  <c r="J6"/>
  <c r="H6"/>
  <c r="F6"/>
  <c r="V36" i="19"/>
  <c r="R145"/>
  <c r="R36"/>
  <c r="Q37"/>
  <c r="R37" s="1"/>
  <c r="U37"/>
  <c r="V37" s="1"/>
  <c r="Y36"/>
  <c r="Z36" s="1"/>
  <c r="AJ35"/>
  <c r="AJ129"/>
  <c r="AB27"/>
  <c r="AC27"/>
  <c r="AA35"/>
  <c r="AB35" s="1"/>
  <c r="W145"/>
  <c r="X53"/>
  <c r="X129"/>
  <c r="AD16"/>
  <c r="O145"/>
  <c r="O21" i="20" s="1"/>
  <c r="P53" i="19"/>
  <c r="P129"/>
  <c r="N145"/>
  <c r="S145"/>
  <c r="T53"/>
  <c r="T129"/>
  <c r="AB126"/>
  <c r="AC126"/>
  <c r="AA129"/>
  <c r="Y145"/>
  <c r="Y21" i="20" s="1"/>
  <c r="Z129" i="19"/>
  <c r="Z53"/>
  <c r="W37"/>
  <c r="W131" s="1"/>
  <c r="D37"/>
  <c r="Y20" i="20"/>
  <c r="X145" i="19"/>
  <c r="W21" i="20"/>
  <c r="T145" i="19"/>
  <c r="P145"/>
  <c r="Q131"/>
  <c r="R131" s="1"/>
  <c r="AD126"/>
  <c r="AC129"/>
  <c r="AB129"/>
  <c r="AA145"/>
  <c r="AB145" s="1"/>
  <c r="AD27"/>
  <c r="AC35"/>
  <c r="AD35" s="1"/>
  <c r="X37"/>
  <c r="V6" i="12"/>
  <c r="X6"/>
  <c r="Z6"/>
  <c r="T6"/>
  <c r="AD129" i="19"/>
  <c r="AC145"/>
  <c r="AD145" s="1"/>
  <c r="Y12" i="5"/>
  <c r="W12"/>
  <c r="U12"/>
  <c r="S12"/>
  <c r="Q12"/>
  <c r="O12"/>
  <c r="K12"/>
  <c r="I12"/>
  <c r="G12"/>
  <c r="C12"/>
  <c r="AA10"/>
  <c r="Z6"/>
  <c r="X6"/>
  <c r="V6"/>
  <c r="T6"/>
  <c r="R6"/>
  <c r="P6"/>
  <c r="L6"/>
  <c r="J6"/>
  <c r="H6"/>
  <c r="F6"/>
  <c r="D6"/>
  <c r="K12" i="1"/>
  <c r="I12"/>
  <c r="G12"/>
  <c r="AA10"/>
  <c r="Z9"/>
  <c r="Z10"/>
  <c r="Z11"/>
  <c r="X10"/>
  <c r="X11"/>
  <c r="V10"/>
  <c r="V11"/>
  <c r="T10"/>
  <c r="T11"/>
  <c r="R10"/>
  <c r="R11"/>
  <c r="P10"/>
  <c r="P11"/>
  <c r="L8"/>
  <c r="L10"/>
  <c r="L11"/>
  <c r="J8"/>
  <c r="J10"/>
  <c r="J11"/>
  <c r="H8"/>
  <c r="H11"/>
  <c r="F8"/>
  <c r="D11"/>
  <c r="D10"/>
  <c r="D9"/>
  <c r="P128" i="5"/>
  <c r="P72"/>
  <c r="P65"/>
  <c r="P68"/>
  <c r="P127"/>
  <c r="X128"/>
  <c r="X72"/>
  <c r="X65"/>
  <c r="X68"/>
  <c r="X127"/>
  <c r="V127"/>
  <c r="V72"/>
  <c r="V128"/>
  <c r="V68"/>
  <c r="V65"/>
  <c r="T65"/>
  <c r="T68"/>
  <c r="T127"/>
  <c r="T128"/>
  <c r="T72"/>
  <c r="R65"/>
  <c r="R127"/>
  <c r="R72"/>
  <c r="R128"/>
  <c r="R68"/>
  <c r="Q12" i="12"/>
  <c r="R118"/>
  <c r="Z65" i="5"/>
  <c r="Z127"/>
  <c r="Z72"/>
  <c r="Z128"/>
  <c r="Z68"/>
  <c r="Y12" i="12"/>
  <c r="L72" i="5"/>
  <c r="L68"/>
  <c r="L65"/>
  <c r="L127"/>
  <c r="L128"/>
  <c r="J72"/>
  <c r="J128"/>
  <c r="J127"/>
  <c r="J65"/>
  <c r="J68"/>
  <c r="H68"/>
  <c r="H127"/>
  <c r="H72"/>
  <c r="H65"/>
  <c r="H128"/>
  <c r="D72"/>
  <c r="D68"/>
  <c r="D65"/>
  <c r="D127"/>
  <c r="D128"/>
  <c r="C12" i="12"/>
  <c r="L65" i="1"/>
  <c r="K12" i="12"/>
  <c r="I12"/>
  <c r="J65" i="1"/>
  <c r="H65"/>
  <c r="G12" i="12"/>
  <c r="D26" i="5"/>
  <c r="D25"/>
  <c r="P26"/>
  <c r="P25"/>
  <c r="X26"/>
  <c r="X25"/>
  <c r="L26"/>
  <c r="L25"/>
  <c r="V26"/>
  <c r="V25"/>
  <c r="J26"/>
  <c r="J25"/>
  <c r="T26"/>
  <c r="T25"/>
  <c r="H26"/>
  <c r="H25"/>
  <c r="R26"/>
  <c r="R25"/>
  <c r="Z26"/>
  <c r="Z25"/>
  <c r="Y17"/>
  <c r="Y17" i="12"/>
  <c r="Z122" i="5"/>
  <c r="Z125"/>
  <c r="Z119"/>
  <c r="Z120"/>
  <c r="Z121"/>
  <c r="W17"/>
  <c r="X125"/>
  <c r="X121"/>
  <c r="X119"/>
  <c r="X122"/>
  <c r="X120"/>
  <c r="U17"/>
  <c r="V125"/>
  <c r="V119"/>
  <c r="V122"/>
  <c r="V121"/>
  <c r="V120"/>
  <c r="S17"/>
  <c r="T125"/>
  <c r="T122"/>
  <c r="T121"/>
  <c r="T120"/>
  <c r="T119"/>
  <c r="Q17" i="12"/>
  <c r="R122" i="5"/>
  <c r="R121"/>
  <c r="R125"/>
  <c r="R119"/>
  <c r="R120"/>
  <c r="O17"/>
  <c r="P125"/>
  <c r="P121"/>
  <c r="P119"/>
  <c r="P122"/>
  <c r="P120"/>
  <c r="P45"/>
  <c r="L125"/>
  <c r="L122"/>
  <c r="L121"/>
  <c r="L120"/>
  <c r="L119"/>
  <c r="J125"/>
  <c r="J119"/>
  <c r="J120"/>
  <c r="J121"/>
  <c r="J122"/>
  <c r="H121"/>
  <c r="H125"/>
  <c r="H119"/>
  <c r="H122"/>
  <c r="H120"/>
  <c r="C17" i="12"/>
  <c r="D119" i="5"/>
  <c r="D125"/>
  <c r="D122"/>
  <c r="D120"/>
  <c r="D121"/>
  <c r="K17" i="12"/>
  <c r="I17"/>
  <c r="G17"/>
  <c r="R30"/>
  <c r="R19"/>
  <c r="R69"/>
  <c r="R70"/>
  <c r="R14"/>
  <c r="R65"/>
  <c r="R74"/>
  <c r="R64"/>
  <c r="R48"/>
  <c r="R72"/>
  <c r="R138"/>
  <c r="R99"/>
  <c r="R140"/>
  <c r="R107"/>
  <c r="R71"/>
  <c r="R47"/>
  <c r="R121"/>
  <c r="AC10"/>
  <c r="Z115" i="5"/>
  <c r="Z75"/>
  <c r="Z66"/>
  <c r="X17"/>
  <c r="X115"/>
  <c r="X66"/>
  <c r="X75"/>
  <c r="V115"/>
  <c r="V66"/>
  <c r="V75"/>
  <c r="T115"/>
  <c r="T66"/>
  <c r="T75"/>
  <c r="R115"/>
  <c r="R66"/>
  <c r="R75"/>
  <c r="P17"/>
  <c r="P115"/>
  <c r="P66"/>
  <c r="P75"/>
  <c r="L115"/>
  <c r="L66"/>
  <c r="L75"/>
  <c r="J115"/>
  <c r="J66"/>
  <c r="J75"/>
  <c r="H73"/>
  <c r="H115"/>
  <c r="H66"/>
  <c r="H75"/>
  <c r="D115"/>
  <c r="D75"/>
  <c r="D66"/>
  <c r="L115" i="1"/>
  <c r="J115"/>
  <c r="H115"/>
  <c r="D79" i="5"/>
  <c r="D78"/>
  <c r="D77"/>
  <c r="L68" i="1"/>
  <c r="J68"/>
  <c r="H68"/>
  <c r="D68"/>
  <c r="D44"/>
  <c r="Z73" i="5"/>
  <c r="Z71"/>
  <c r="Z70"/>
  <c r="X70"/>
  <c r="X73"/>
  <c r="X71"/>
  <c r="V70"/>
  <c r="V73"/>
  <c r="V71"/>
  <c r="V17"/>
  <c r="T17"/>
  <c r="T70"/>
  <c r="T73"/>
  <c r="T71"/>
  <c r="R70"/>
  <c r="R73"/>
  <c r="R71"/>
  <c r="AO12"/>
  <c r="P70"/>
  <c r="P73"/>
  <c r="P71"/>
  <c r="L17"/>
  <c r="L70"/>
  <c r="L73"/>
  <c r="L71"/>
  <c r="J17"/>
  <c r="J70"/>
  <c r="J73"/>
  <c r="J71"/>
  <c r="H17"/>
  <c r="H70"/>
  <c r="H71"/>
  <c r="D70"/>
  <c r="D73"/>
  <c r="D71"/>
  <c r="L17" i="1"/>
  <c r="L73"/>
  <c r="L71"/>
  <c r="L69"/>
  <c r="L76"/>
  <c r="L75"/>
  <c r="L72"/>
  <c r="L70"/>
  <c r="J17"/>
  <c r="J73"/>
  <c r="J71"/>
  <c r="J69"/>
  <c r="J76"/>
  <c r="J75"/>
  <c r="J72"/>
  <c r="J70"/>
  <c r="H73"/>
  <c r="H71"/>
  <c r="H69"/>
  <c r="H76"/>
  <c r="H75"/>
  <c r="H72"/>
  <c r="H70"/>
  <c r="D76"/>
  <c r="D71"/>
  <c r="D73"/>
  <c r="D72"/>
  <c r="D75"/>
  <c r="R17" i="5"/>
  <c r="D17"/>
  <c r="H62"/>
  <c r="AC10"/>
  <c r="AN10"/>
  <c r="D42" i="1"/>
  <c r="D46"/>
  <c r="L46"/>
  <c r="J46"/>
  <c r="H46"/>
  <c r="R91" i="5"/>
  <c r="L92" i="1"/>
  <c r="J92"/>
  <c r="H92"/>
  <c r="D92"/>
  <c r="D69"/>
  <c r="P91" i="5"/>
  <c r="L91"/>
  <c r="J91"/>
  <c r="T91"/>
  <c r="D91"/>
  <c r="X141"/>
  <c r="X91"/>
  <c r="V91"/>
  <c r="H91"/>
  <c r="Z141"/>
  <c r="Z91"/>
  <c r="AI10" i="12"/>
  <c r="V141" i="5"/>
  <c r="T141"/>
  <c r="R141"/>
  <c r="P141"/>
  <c r="L141"/>
  <c r="J141"/>
  <c r="H141"/>
  <c r="D141"/>
  <c r="L141" i="1"/>
  <c r="J141"/>
  <c r="H141"/>
  <c r="D54"/>
  <c r="D141"/>
  <c r="T12" i="5"/>
  <c r="Z8" i="1"/>
  <c r="Z56"/>
  <c r="AC10"/>
  <c r="R113" i="12"/>
  <c r="R136"/>
  <c r="R62"/>
  <c r="R94"/>
  <c r="R137"/>
  <c r="R22"/>
  <c r="R90"/>
  <c r="R28"/>
  <c r="R77"/>
  <c r="R117"/>
  <c r="R55"/>
  <c r="R127"/>
  <c r="R88"/>
  <c r="R143"/>
  <c r="R100"/>
  <c r="R46"/>
  <c r="R120"/>
  <c r="R81"/>
  <c r="R97"/>
  <c r="R20"/>
  <c r="R108"/>
  <c r="R63"/>
  <c r="R92"/>
  <c r="R134"/>
  <c r="R66"/>
  <c r="R139"/>
  <c r="R75"/>
  <c r="R112"/>
  <c r="R83"/>
  <c r="R43"/>
  <c r="R109"/>
  <c r="R49"/>
  <c r="R33"/>
  <c r="R44"/>
  <c r="R68"/>
  <c r="R149"/>
  <c r="R61"/>
  <c r="R67"/>
  <c r="R78"/>
  <c r="R40"/>
  <c r="R15"/>
  <c r="R34"/>
  <c r="Z118"/>
  <c r="Z130"/>
  <c r="Z79"/>
  <c r="Z81"/>
  <c r="Z98"/>
  <c r="Z113"/>
  <c r="Z70"/>
  <c r="Z74"/>
  <c r="Z86"/>
  <c r="Z63"/>
  <c r="Z94"/>
  <c r="Z109"/>
  <c r="Z150"/>
  <c r="Z69"/>
  <c r="Z64"/>
  <c r="Z59"/>
  <c r="Z90"/>
  <c r="Z68"/>
  <c r="Z149"/>
  <c r="Z44"/>
  <c r="Z92"/>
  <c r="Z65"/>
  <c r="Z72"/>
  <c r="Z60"/>
  <c r="Z127"/>
  <c r="Z43"/>
  <c r="Z45"/>
  <c r="Z116"/>
  <c r="Z52"/>
  <c r="Z71"/>
  <c r="Z121"/>
  <c r="Z141"/>
  <c r="Z61"/>
  <c r="Z100"/>
  <c r="Z117"/>
  <c r="Z112"/>
  <c r="Z89"/>
  <c r="Z122"/>
  <c r="Z47"/>
  <c r="Z96"/>
  <c r="Z97"/>
  <c r="Z108"/>
  <c r="Z73"/>
  <c r="Z140"/>
  <c r="Z82"/>
  <c r="Z114"/>
  <c r="Z107"/>
  <c r="Z66"/>
  <c r="Z85"/>
  <c r="Z95"/>
  <c r="Z102"/>
  <c r="Z80"/>
  <c r="Z88"/>
  <c r="Z148"/>
  <c r="Z134"/>
  <c r="Z54"/>
  <c r="Z128"/>
  <c r="Z84"/>
  <c r="Z143"/>
  <c r="Z115"/>
  <c r="Z120"/>
  <c r="Z49"/>
  <c r="Z105"/>
  <c r="Z78"/>
  <c r="Z125"/>
  <c r="Z111"/>
  <c r="Z119"/>
  <c r="Z46"/>
  <c r="Z99"/>
  <c r="Z106"/>
  <c r="Z138"/>
  <c r="Z87"/>
  <c r="Z50"/>
  <c r="Z48"/>
  <c r="Z123"/>
  <c r="Z75"/>
  <c r="Z110"/>
  <c r="Z139"/>
  <c r="Z83"/>
  <c r="Z56"/>
  <c r="Z67"/>
  <c r="Z104"/>
  <c r="Z151"/>
  <c r="Z132"/>
  <c r="Z58"/>
  <c r="Z51"/>
  <c r="Z136"/>
  <c r="Z103"/>
  <c r="Z142"/>
  <c r="Z91"/>
  <c r="Z55"/>
  <c r="Z53"/>
  <c r="Z124"/>
  <c r="Z101"/>
  <c r="Z62"/>
  <c r="Z147"/>
  <c r="Z57"/>
  <c r="Z77"/>
  <c r="Z137"/>
  <c r="Z133"/>
  <c r="Z25"/>
  <c r="Z14"/>
  <c r="Z39"/>
  <c r="Z30"/>
  <c r="Z31"/>
  <c r="Z26"/>
  <c r="Z20"/>
  <c r="Z18"/>
  <c r="Z13"/>
  <c r="Z19"/>
  <c r="Z23"/>
  <c r="Z22"/>
  <c r="Z33"/>
  <c r="Z41"/>
  <c r="Z28"/>
  <c r="Z38"/>
  <c r="Z29"/>
  <c r="Z32"/>
  <c r="Z24"/>
  <c r="Z34"/>
  <c r="Z40"/>
  <c r="Z15"/>
  <c r="R25"/>
  <c r="R86"/>
  <c r="R116"/>
  <c r="R114"/>
  <c r="R150"/>
  <c r="R123"/>
  <c r="R57"/>
  <c r="R122"/>
  <c r="R102"/>
  <c r="R104"/>
  <c r="R101"/>
  <c r="R110"/>
  <c r="R58"/>
  <c r="R89"/>
  <c r="R56"/>
  <c r="R132"/>
  <c r="R105"/>
  <c r="R79"/>
  <c r="R147"/>
  <c r="R124"/>
  <c r="R39"/>
  <c r="R148"/>
  <c r="R82"/>
  <c r="R91"/>
  <c r="R103"/>
  <c r="R96"/>
  <c r="R133"/>
  <c r="R23"/>
  <c r="R38"/>
  <c r="R24"/>
  <c r="R29"/>
  <c r="R85"/>
  <c r="R106"/>
  <c r="R80"/>
  <c r="R87"/>
  <c r="R98"/>
  <c r="R128"/>
  <c r="R18"/>
  <c r="R52"/>
  <c r="R54"/>
  <c r="R115"/>
  <c r="R84"/>
  <c r="R141"/>
  <c r="R142"/>
  <c r="R119"/>
  <c r="R73"/>
  <c r="R130"/>
  <c r="R51"/>
  <c r="R111"/>
  <c r="R125"/>
  <c r="R45"/>
  <c r="R95"/>
  <c r="R50"/>
  <c r="R60"/>
  <c r="R59"/>
  <c r="R53"/>
  <c r="R151"/>
  <c r="R13"/>
  <c r="R41"/>
  <c r="R31"/>
  <c r="R32"/>
  <c r="R26"/>
  <c r="D118"/>
  <c r="D141"/>
  <c r="D63"/>
  <c r="D52"/>
  <c r="D112"/>
  <c r="D77"/>
  <c r="D70"/>
  <c r="D50"/>
  <c r="D62"/>
  <c r="D53"/>
  <c r="D113"/>
  <c r="D90"/>
  <c r="D132"/>
  <c r="D80"/>
  <c r="D46"/>
  <c r="D105"/>
  <c r="D79"/>
  <c r="D136"/>
  <c r="D58"/>
  <c r="D115"/>
  <c r="D147"/>
  <c r="D69"/>
  <c r="D81"/>
  <c r="D66"/>
  <c r="D103"/>
  <c r="D30"/>
  <c r="D25"/>
  <c r="D33"/>
  <c r="D28"/>
  <c r="D38"/>
  <c r="D41"/>
  <c r="D121"/>
  <c r="D56"/>
  <c r="D60"/>
  <c r="D108"/>
  <c r="D71"/>
  <c r="D99"/>
  <c r="D47"/>
  <c r="D45"/>
  <c r="D48"/>
  <c r="D109"/>
  <c r="D67"/>
  <c r="D123"/>
  <c r="D150"/>
  <c r="D59"/>
  <c r="D82"/>
  <c r="D117"/>
  <c r="D124"/>
  <c r="D61"/>
  <c r="D111"/>
  <c r="D98"/>
  <c r="D137"/>
  <c r="D138"/>
  <c r="D151"/>
  <c r="D140"/>
  <c r="D102"/>
  <c r="D39"/>
  <c r="D32"/>
  <c r="D18"/>
  <c r="D19"/>
  <c r="D15"/>
  <c r="D29"/>
  <c r="D122"/>
  <c r="D51"/>
  <c r="D54"/>
  <c r="D64"/>
  <c r="D65"/>
  <c r="D95"/>
  <c r="D149"/>
  <c r="D130"/>
  <c r="D116"/>
  <c r="D78"/>
  <c r="D148"/>
  <c r="D100"/>
  <c r="D142"/>
  <c r="D43"/>
  <c r="D68"/>
  <c r="D114"/>
  <c r="D97"/>
  <c r="D104"/>
  <c r="D107"/>
  <c r="D94"/>
  <c r="D89"/>
  <c r="D91"/>
  <c r="D139"/>
  <c r="D128"/>
  <c r="D106"/>
  <c r="D13"/>
  <c r="D14"/>
  <c r="D24"/>
  <c r="D40"/>
  <c r="D23"/>
  <c r="D86"/>
  <c r="D133"/>
  <c r="D49"/>
  <c r="D57"/>
  <c r="D119"/>
  <c r="D88"/>
  <c r="D75"/>
  <c r="D55"/>
  <c r="D87"/>
  <c r="D72"/>
  <c r="D120"/>
  <c r="D96"/>
  <c r="D134"/>
  <c r="D143"/>
  <c r="D44"/>
  <c r="D110"/>
  <c r="D92"/>
  <c r="D84"/>
  <c r="D125"/>
  <c r="D83"/>
  <c r="D73"/>
  <c r="D74"/>
  <c r="D127"/>
  <c r="D85"/>
  <c r="D101"/>
  <c r="D26"/>
  <c r="D31"/>
  <c r="D34"/>
  <c r="D20"/>
  <c r="D22"/>
  <c r="L118"/>
  <c r="L123"/>
  <c r="L62"/>
  <c r="L72"/>
  <c r="L120"/>
  <c r="L67"/>
  <c r="L100"/>
  <c r="L59"/>
  <c r="L86"/>
  <c r="L114"/>
  <c r="L124"/>
  <c r="L127"/>
  <c r="L111"/>
  <c r="L94"/>
  <c r="L147"/>
  <c r="L56"/>
  <c r="L54"/>
  <c r="L84"/>
  <c r="L65"/>
  <c r="L88"/>
  <c r="L75"/>
  <c r="L116"/>
  <c r="L151"/>
  <c r="L149"/>
  <c r="L137"/>
  <c r="L102"/>
  <c r="L47"/>
  <c r="L45"/>
  <c r="L53"/>
  <c r="L113"/>
  <c r="L148"/>
  <c r="L96"/>
  <c r="L43"/>
  <c r="L44"/>
  <c r="L110"/>
  <c r="L97"/>
  <c r="L61"/>
  <c r="L107"/>
  <c r="L142"/>
  <c r="L130"/>
  <c r="L51"/>
  <c r="L49"/>
  <c r="L57"/>
  <c r="L112"/>
  <c r="L81"/>
  <c r="L70"/>
  <c r="L91"/>
  <c r="L139"/>
  <c r="L140"/>
  <c r="L89"/>
  <c r="L105"/>
  <c r="L132"/>
  <c r="L55"/>
  <c r="L48"/>
  <c r="L109"/>
  <c r="L134"/>
  <c r="L90"/>
  <c r="L125"/>
  <c r="L143"/>
  <c r="L68"/>
  <c r="L92"/>
  <c r="L78"/>
  <c r="L80"/>
  <c r="L141"/>
  <c r="L121"/>
  <c r="L82"/>
  <c r="L119"/>
  <c r="L52"/>
  <c r="L108"/>
  <c r="L77"/>
  <c r="L99"/>
  <c r="L74"/>
  <c r="L138"/>
  <c r="L79"/>
  <c r="L83"/>
  <c r="L101"/>
  <c r="L50"/>
  <c r="L87"/>
  <c r="L106"/>
  <c r="L133"/>
  <c r="L85"/>
  <c r="L150"/>
  <c r="L46"/>
  <c r="L128"/>
  <c r="L122"/>
  <c r="L136"/>
  <c r="L58"/>
  <c r="L115"/>
  <c r="L98"/>
  <c r="L64"/>
  <c r="L63"/>
  <c r="L60"/>
  <c r="L104"/>
  <c r="L71"/>
  <c r="L95"/>
  <c r="L69"/>
  <c r="L117"/>
  <c r="L66"/>
  <c r="L73"/>
  <c r="L103"/>
  <c r="L28"/>
  <c r="L30"/>
  <c r="L13"/>
  <c r="L40"/>
  <c r="L38"/>
  <c r="L24"/>
  <c r="L19"/>
  <c r="L14"/>
  <c r="L34"/>
  <c r="L26"/>
  <c r="L15"/>
  <c r="L20"/>
  <c r="L33"/>
  <c r="L31"/>
  <c r="L32"/>
  <c r="L39"/>
  <c r="L41"/>
  <c r="L23"/>
  <c r="L29"/>
  <c r="L25"/>
  <c r="L18"/>
  <c r="L22"/>
  <c r="J118"/>
  <c r="J78"/>
  <c r="J57"/>
  <c r="J50"/>
  <c r="J66"/>
  <c r="J108"/>
  <c r="J134"/>
  <c r="J90"/>
  <c r="J150"/>
  <c r="J56"/>
  <c r="J54"/>
  <c r="J117"/>
  <c r="J109"/>
  <c r="J99"/>
  <c r="J61"/>
  <c r="J74"/>
  <c r="J110"/>
  <c r="J96"/>
  <c r="J86"/>
  <c r="J91"/>
  <c r="J115"/>
  <c r="J148"/>
  <c r="J130"/>
  <c r="J149"/>
  <c r="J125"/>
  <c r="J104"/>
  <c r="J82"/>
  <c r="J52"/>
  <c r="J81"/>
  <c r="J83"/>
  <c r="J72"/>
  <c r="J120"/>
  <c r="J77"/>
  <c r="J105"/>
  <c r="J51"/>
  <c r="J49"/>
  <c r="J89"/>
  <c r="J68"/>
  <c r="J95"/>
  <c r="J47"/>
  <c r="J69"/>
  <c r="J151"/>
  <c r="J92"/>
  <c r="J124"/>
  <c r="J87"/>
  <c r="J111"/>
  <c r="J141"/>
  <c r="J121"/>
  <c r="J64"/>
  <c r="J143"/>
  <c r="J102"/>
  <c r="J80"/>
  <c r="J63"/>
  <c r="J58"/>
  <c r="J140"/>
  <c r="J119"/>
  <c r="J71"/>
  <c r="J98"/>
  <c r="J53"/>
  <c r="J46"/>
  <c r="J73"/>
  <c r="J137"/>
  <c r="J67"/>
  <c r="J44"/>
  <c r="J62"/>
  <c r="J138"/>
  <c r="J88"/>
  <c r="J123"/>
  <c r="J79"/>
  <c r="J107"/>
  <c r="J133"/>
  <c r="J97"/>
  <c r="J147"/>
  <c r="J75"/>
  <c r="J101"/>
  <c r="J84"/>
  <c r="J59"/>
  <c r="J55"/>
  <c r="J116"/>
  <c r="J112"/>
  <c r="J142"/>
  <c r="J94"/>
  <c r="J48"/>
  <c r="J85"/>
  <c r="J60"/>
  <c r="J127"/>
  <c r="J113"/>
  <c r="J132"/>
  <c r="J45"/>
  <c r="J128"/>
  <c r="J114"/>
  <c r="J100"/>
  <c r="J43"/>
  <c r="J139"/>
  <c r="J122"/>
  <c r="J65"/>
  <c r="J136"/>
  <c r="J70"/>
  <c r="J103"/>
  <c r="J106"/>
  <c r="J34"/>
  <c r="J28"/>
  <c r="J13"/>
  <c r="J24"/>
  <c r="J30"/>
  <c r="J33"/>
  <c r="J41"/>
  <c r="J29"/>
  <c r="J15"/>
  <c r="J23"/>
  <c r="J26"/>
  <c r="J31"/>
  <c r="J25"/>
  <c r="J19"/>
  <c r="J18"/>
  <c r="J14"/>
  <c r="J20"/>
  <c r="J39"/>
  <c r="J32"/>
  <c r="J38"/>
  <c r="J22"/>
  <c r="J40"/>
  <c r="H118"/>
  <c r="H44"/>
  <c r="H81"/>
  <c r="H104"/>
  <c r="H110"/>
  <c r="H58"/>
  <c r="H63"/>
  <c r="H149"/>
  <c r="H103"/>
  <c r="H72"/>
  <c r="H120"/>
  <c r="H52"/>
  <c r="H55"/>
  <c r="H74"/>
  <c r="H108"/>
  <c r="H62"/>
  <c r="H43"/>
  <c r="H75"/>
  <c r="H79"/>
  <c r="H90"/>
  <c r="H123"/>
  <c r="H97"/>
  <c r="H65"/>
  <c r="H98"/>
  <c r="H95"/>
  <c r="H105"/>
  <c r="H87"/>
  <c r="H130"/>
  <c r="H89"/>
  <c r="H83"/>
  <c r="H141"/>
  <c r="H56"/>
  <c r="H101"/>
  <c r="H91"/>
  <c r="H151"/>
  <c r="H115"/>
  <c r="H60"/>
  <c r="H50"/>
  <c r="H69"/>
  <c r="H68"/>
  <c r="H45"/>
  <c r="H53"/>
  <c r="H70"/>
  <c r="H138"/>
  <c r="H80"/>
  <c r="H121"/>
  <c r="H92"/>
  <c r="H148"/>
  <c r="H94"/>
  <c r="H88"/>
  <c r="H106"/>
  <c r="H117"/>
  <c r="H78"/>
  <c r="H139"/>
  <c r="H119"/>
  <c r="H51"/>
  <c r="H85"/>
  <c r="H82"/>
  <c r="H140"/>
  <c r="H111"/>
  <c r="H54"/>
  <c r="H47"/>
  <c r="H125"/>
  <c r="H137"/>
  <c r="H133"/>
  <c r="H48"/>
  <c r="H46"/>
  <c r="H143"/>
  <c r="H113"/>
  <c r="H100"/>
  <c r="H84"/>
  <c r="H150"/>
  <c r="H77"/>
  <c r="H67"/>
  <c r="H147"/>
  <c r="H61"/>
  <c r="H66"/>
  <c r="H116"/>
  <c r="H114"/>
  <c r="H142"/>
  <c r="H122"/>
  <c r="H73"/>
  <c r="H127"/>
  <c r="H107"/>
  <c r="H49"/>
  <c r="H57"/>
  <c r="H64"/>
  <c r="H128"/>
  <c r="H112"/>
  <c r="H134"/>
  <c r="H59"/>
  <c r="H86"/>
  <c r="H109"/>
  <c r="H96"/>
  <c r="H132"/>
  <c r="H124"/>
  <c r="H71"/>
  <c r="H136"/>
  <c r="H99"/>
  <c r="H102"/>
  <c r="H20"/>
  <c r="H34"/>
  <c r="H39"/>
  <c r="H40"/>
  <c r="H25"/>
  <c r="H41"/>
  <c r="H22"/>
  <c r="H19"/>
  <c r="H29"/>
  <c r="H13"/>
  <c r="H30"/>
  <c r="H28"/>
  <c r="H38"/>
  <c r="H23"/>
  <c r="H31"/>
  <c r="H18"/>
  <c r="H14"/>
  <c r="H33"/>
  <c r="H32"/>
  <c r="H26"/>
  <c r="H15"/>
  <c r="H24"/>
  <c r="AO17" i="5"/>
  <c r="H17" i="1"/>
  <c r="D17"/>
  <c r="Z17" i="5"/>
  <c r="D17" i="12"/>
  <c r="Z141" i="1"/>
  <c r="AK149" i="5"/>
  <c r="AK148"/>
  <c r="AK147"/>
  <c r="AK143"/>
  <c r="AK142"/>
  <c r="AK140"/>
  <c r="AK139"/>
  <c r="AK138"/>
  <c r="AK137"/>
  <c r="AK136"/>
  <c r="AK134"/>
  <c r="AK133"/>
  <c r="AK132"/>
  <c r="AK130"/>
  <c r="AK128"/>
  <c r="AK127"/>
  <c r="AK125"/>
  <c r="AK124"/>
  <c r="AK123"/>
  <c r="AK122"/>
  <c r="AK121"/>
  <c r="AK120"/>
  <c r="AK119"/>
  <c r="AK117"/>
  <c r="AK116"/>
  <c r="AK107"/>
  <c r="AK105"/>
  <c r="AK104"/>
  <c r="AK103"/>
  <c r="AK102"/>
  <c r="AK101"/>
  <c r="AK99"/>
  <c r="AK98"/>
  <c r="AK97"/>
  <c r="AK96"/>
  <c r="AK95"/>
  <c r="AK94"/>
  <c r="AK92"/>
  <c r="AK91"/>
  <c r="AK90"/>
  <c r="AK89"/>
  <c r="AK88"/>
  <c r="AK87"/>
  <c r="AK86"/>
  <c r="AK85"/>
  <c r="AK84"/>
  <c r="AK83"/>
  <c r="AK82"/>
  <c r="AK81"/>
  <c r="AK80"/>
  <c r="AK79"/>
  <c r="AK78"/>
  <c r="AK77"/>
  <c r="AK69"/>
  <c r="AK68"/>
  <c r="AK67"/>
  <c r="AK66"/>
  <c r="AK65"/>
  <c r="AK64"/>
  <c r="AK63"/>
  <c r="AK62"/>
  <c r="AK61"/>
  <c r="AK60"/>
  <c r="AK59"/>
  <c r="AK58"/>
  <c r="AK57"/>
  <c r="AK56"/>
  <c r="AK55"/>
  <c r="AK52"/>
  <c r="AK51"/>
  <c r="AK50"/>
  <c r="AK49"/>
  <c r="AK48"/>
  <c r="AK47"/>
  <c r="AK46"/>
  <c r="AK44"/>
  <c r="AK43"/>
  <c r="AK40"/>
  <c r="AK38"/>
  <c r="AK34"/>
  <c r="AK33"/>
  <c r="AK32"/>
  <c r="AK31"/>
  <c r="AK30"/>
  <c r="AK29"/>
  <c r="AK28"/>
  <c r="AK26"/>
  <c r="AK25"/>
  <c r="AK24"/>
  <c r="AK23"/>
  <c r="AK22"/>
  <c r="AK20"/>
  <c r="AK19"/>
  <c r="AK18"/>
  <c r="AK14"/>
  <c r="AK13"/>
  <c r="AK8"/>
  <c r="AK6"/>
  <c r="R17" i="12"/>
  <c r="L17"/>
  <c r="H17"/>
  <c r="J17"/>
  <c r="AA11" i="5"/>
  <c r="E12"/>
  <c r="AK11"/>
  <c r="F127"/>
  <c r="F72"/>
  <c r="F128"/>
  <c r="F68"/>
  <c r="F65"/>
  <c r="F26"/>
  <c r="F25"/>
  <c r="F125"/>
  <c r="F119"/>
  <c r="F122"/>
  <c r="F120"/>
  <c r="F121"/>
  <c r="F115"/>
  <c r="F75"/>
  <c r="F66"/>
  <c r="F70"/>
  <c r="F73"/>
  <c r="F71"/>
  <c r="AC11"/>
  <c r="AN11"/>
  <c r="F91"/>
  <c r="F141"/>
  <c r="F17"/>
  <c r="O12" i="1"/>
  <c r="P8"/>
  <c r="W12"/>
  <c r="X8"/>
  <c r="U12"/>
  <c r="V8"/>
  <c r="T8"/>
  <c r="S12"/>
  <c r="R8"/>
  <c r="X65"/>
  <c r="W12" i="12"/>
  <c r="T65" i="1"/>
  <c r="S12" i="12"/>
  <c r="V65" i="1"/>
  <c r="U12" i="12"/>
  <c r="P65" i="1"/>
  <c r="O12" i="12"/>
  <c r="P118"/>
  <c r="W17"/>
  <c r="U17"/>
  <c r="S17"/>
  <c r="T118"/>
  <c r="O17"/>
  <c r="X115" i="1"/>
  <c r="V115"/>
  <c r="T115"/>
  <c r="P115"/>
  <c r="X68"/>
  <c r="V68"/>
  <c r="T68"/>
  <c r="P68"/>
  <c r="X73"/>
  <c r="X71"/>
  <c r="X69"/>
  <c r="X76"/>
  <c r="X75"/>
  <c r="X72"/>
  <c r="X70"/>
  <c r="V73"/>
  <c r="V71"/>
  <c r="V69"/>
  <c r="V76"/>
  <c r="V75"/>
  <c r="V72"/>
  <c r="V70"/>
  <c r="T73"/>
  <c r="T71"/>
  <c r="T69"/>
  <c r="T76"/>
  <c r="T75"/>
  <c r="T72"/>
  <c r="T70"/>
  <c r="P73"/>
  <c r="P71"/>
  <c r="P69"/>
  <c r="P76"/>
  <c r="P75"/>
  <c r="P72"/>
  <c r="P70"/>
  <c r="P17"/>
  <c r="X46"/>
  <c r="V46"/>
  <c r="T46"/>
  <c r="P46"/>
  <c r="X92"/>
  <c r="V92"/>
  <c r="T92"/>
  <c r="P92"/>
  <c r="P67"/>
  <c r="T56"/>
  <c r="V56"/>
  <c r="X56"/>
  <c r="X141"/>
  <c r="V141"/>
  <c r="T141"/>
  <c r="P141"/>
  <c r="AG132" i="12"/>
  <c r="AH132"/>
  <c r="AG130"/>
  <c r="AH130"/>
  <c r="AG149"/>
  <c r="AH149"/>
  <c r="AG147"/>
  <c r="AH147"/>
  <c r="AG134"/>
  <c r="AH134"/>
  <c r="X17" i="1"/>
  <c r="T17"/>
  <c r="X118" i="12"/>
  <c r="X82"/>
  <c r="X75"/>
  <c r="X110"/>
  <c r="X91"/>
  <c r="X67"/>
  <c r="X104"/>
  <c r="X74"/>
  <c r="X70"/>
  <c r="X79"/>
  <c r="X78"/>
  <c r="X103"/>
  <c r="X102"/>
  <c r="X69"/>
  <c r="X46"/>
  <c r="X139"/>
  <c r="X73"/>
  <c r="X98"/>
  <c r="X150"/>
  <c r="X55"/>
  <c r="X62"/>
  <c r="X117"/>
  <c r="X143"/>
  <c r="X65"/>
  <c r="X116"/>
  <c r="X43"/>
  <c r="X85"/>
  <c r="X86"/>
  <c r="X89"/>
  <c r="X140"/>
  <c r="X84"/>
  <c r="X92"/>
  <c r="X64"/>
  <c r="X53"/>
  <c r="X66"/>
  <c r="X127"/>
  <c r="X77"/>
  <c r="X80"/>
  <c r="X122"/>
  <c r="X48"/>
  <c r="X133"/>
  <c r="X81"/>
  <c r="X71"/>
  <c r="X128"/>
  <c r="X52"/>
  <c r="X108"/>
  <c r="X124"/>
  <c r="X51"/>
  <c r="X107"/>
  <c r="X147"/>
  <c r="X50"/>
  <c r="X45"/>
  <c r="X61"/>
  <c r="X130"/>
  <c r="X148"/>
  <c r="X100"/>
  <c r="X47"/>
  <c r="X123"/>
  <c r="X44"/>
  <c r="X63"/>
  <c r="X115"/>
  <c r="X96"/>
  <c r="X57"/>
  <c r="X112"/>
  <c r="X134"/>
  <c r="X56"/>
  <c r="X111"/>
  <c r="X90"/>
  <c r="X49"/>
  <c r="X121"/>
  <c r="X87"/>
  <c r="X114"/>
  <c r="X120"/>
  <c r="X88"/>
  <c r="X105"/>
  <c r="X142"/>
  <c r="X68"/>
  <c r="X113"/>
  <c r="X58"/>
  <c r="X83"/>
  <c r="X101"/>
  <c r="X60"/>
  <c r="X137"/>
  <c r="X109"/>
  <c r="X136"/>
  <c r="X72"/>
  <c r="X99"/>
  <c r="X54"/>
  <c r="X132"/>
  <c r="X138"/>
  <c r="X125"/>
  <c r="X151"/>
  <c r="X95"/>
  <c r="X106"/>
  <c r="X141"/>
  <c r="X59"/>
  <c r="X119"/>
  <c r="X149"/>
  <c r="X94"/>
  <c r="X97"/>
  <c r="X20"/>
  <c r="X30"/>
  <c r="X33"/>
  <c r="X28"/>
  <c r="X39"/>
  <c r="X29"/>
  <c r="X15"/>
  <c r="X23"/>
  <c r="X40"/>
  <c r="X19"/>
  <c r="X26"/>
  <c r="X24"/>
  <c r="X22"/>
  <c r="X18"/>
  <c r="X13"/>
  <c r="X41"/>
  <c r="X34"/>
  <c r="X32"/>
  <c r="X38"/>
  <c r="X25"/>
  <c r="X31"/>
  <c r="X14"/>
  <c r="V118"/>
  <c r="V81"/>
  <c r="V138"/>
  <c r="V70"/>
  <c r="V96"/>
  <c r="V97"/>
  <c r="V115"/>
  <c r="V85"/>
  <c r="V132"/>
  <c r="V64"/>
  <c r="V92"/>
  <c r="V67"/>
  <c r="V111"/>
  <c r="V79"/>
  <c r="V122"/>
  <c r="V143"/>
  <c r="V88"/>
  <c r="V59"/>
  <c r="V107"/>
  <c r="V101"/>
  <c r="V150"/>
  <c r="V63"/>
  <c r="V44"/>
  <c r="V121"/>
  <c r="V124"/>
  <c r="V109"/>
  <c r="V73"/>
  <c r="V99"/>
  <c r="V71"/>
  <c r="V60"/>
  <c r="V72"/>
  <c r="V103"/>
  <c r="V140"/>
  <c r="V95"/>
  <c r="V47"/>
  <c r="V45"/>
  <c r="V151"/>
  <c r="V142"/>
  <c r="V106"/>
  <c r="V65"/>
  <c r="V86"/>
  <c r="V80"/>
  <c r="V134"/>
  <c r="V113"/>
  <c r="V61"/>
  <c r="V48"/>
  <c r="V139"/>
  <c r="V141"/>
  <c r="V91"/>
  <c r="V123"/>
  <c r="V98"/>
  <c r="V56"/>
  <c r="V54"/>
  <c r="V119"/>
  <c r="V114"/>
  <c r="V148"/>
  <c r="V94"/>
  <c r="V51"/>
  <c r="V49"/>
  <c r="V66"/>
  <c r="V110"/>
  <c r="V130"/>
  <c r="V90"/>
  <c r="V53"/>
  <c r="V46"/>
  <c r="V149"/>
  <c r="V137"/>
  <c r="V125"/>
  <c r="V84"/>
  <c r="V50"/>
  <c r="V75"/>
  <c r="V100"/>
  <c r="V116"/>
  <c r="V136"/>
  <c r="V43"/>
  <c r="V82"/>
  <c r="V62"/>
  <c r="V89"/>
  <c r="V133"/>
  <c r="V87"/>
  <c r="V112"/>
  <c r="V57"/>
  <c r="V58"/>
  <c r="V74"/>
  <c r="V117"/>
  <c r="V127"/>
  <c r="V108"/>
  <c r="V52"/>
  <c r="V55"/>
  <c r="V69"/>
  <c r="V147"/>
  <c r="V104"/>
  <c r="V68"/>
  <c r="V83"/>
  <c r="V120"/>
  <c r="V128"/>
  <c r="V77"/>
  <c r="V78"/>
  <c r="V105"/>
  <c r="V102"/>
  <c r="V28"/>
  <c r="V26"/>
  <c r="V33"/>
  <c r="V38"/>
  <c r="V19"/>
  <c r="V32"/>
  <c r="V23"/>
  <c r="V22"/>
  <c r="V34"/>
  <c r="V40"/>
  <c r="V25"/>
  <c r="V31"/>
  <c r="V39"/>
  <c r="V14"/>
  <c r="V20"/>
  <c r="V24"/>
  <c r="V29"/>
  <c r="V30"/>
  <c r="V15"/>
  <c r="V18"/>
  <c r="V41"/>
  <c r="V13"/>
  <c r="T44"/>
  <c r="T92"/>
  <c r="T107"/>
  <c r="T147"/>
  <c r="T60"/>
  <c r="T71"/>
  <c r="T117"/>
  <c r="T48"/>
  <c r="T148"/>
  <c r="T66"/>
  <c r="T120"/>
  <c r="T102"/>
  <c r="T121"/>
  <c r="T124"/>
  <c r="T105"/>
  <c r="T143"/>
  <c r="T54"/>
  <c r="T65"/>
  <c r="T75"/>
  <c r="T62"/>
  <c r="T136"/>
  <c r="T151"/>
  <c r="T89"/>
  <c r="T101"/>
  <c r="T130"/>
  <c r="T141"/>
  <c r="T128"/>
  <c r="T115"/>
  <c r="T84"/>
  <c r="T52"/>
  <c r="T83"/>
  <c r="T140"/>
  <c r="T72"/>
  <c r="T90"/>
  <c r="T87"/>
  <c r="T137"/>
  <c r="T103"/>
  <c r="T46"/>
  <c r="T110"/>
  <c r="T58"/>
  <c r="T94"/>
  <c r="T63"/>
  <c r="T108"/>
  <c r="T99"/>
  <c r="T55"/>
  <c r="T123"/>
  <c r="T150"/>
  <c r="T73"/>
  <c r="T91"/>
  <c r="T59"/>
  <c r="T78"/>
  <c r="T61"/>
  <c r="T79"/>
  <c r="T56"/>
  <c r="T133"/>
  <c r="T95"/>
  <c r="T50"/>
  <c r="T113"/>
  <c r="T100"/>
  <c r="T149"/>
  <c r="T74"/>
  <c r="T43"/>
  <c r="T68"/>
  <c r="T80"/>
  <c r="T142"/>
  <c r="T51"/>
  <c r="T57"/>
  <c r="T88"/>
  <c r="T47"/>
  <c r="T109"/>
  <c r="T96"/>
  <c r="T119"/>
  <c r="T69"/>
  <c r="T106"/>
  <c r="T122"/>
  <c r="T114"/>
  <c r="T82"/>
  <c r="T98"/>
  <c r="T49"/>
  <c r="T112"/>
  <c r="T70"/>
  <c r="T45"/>
  <c r="T134"/>
  <c r="T139"/>
  <c r="T85"/>
  <c r="T138"/>
  <c r="T116"/>
  <c r="T86"/>
  <c r="T97"/>
  <c r="T111"/>
  <c r="T64"/>
  <c r="T125"/>
  <c r="T77"/>
  <c r="T127"/>
  <c r="T53"/>
  <c r="T67"/>
  <c r="T81"/>
  <c r="T132"/>
  <c r="T104"/>
  <c r="T38"/>
  <c r="T26"/>
  <c r="T23"/>
  <c r="T18"/>
  <c r="T29"/>
  <c r="T30"/>
  <c r="T22"/>
  <c r="T32"/>
  <c r="T40"/>
  <c r="T28"/>
  <c r="T41"/>
  <c r="T31"/>
  <c r="T14"/>
  <c r="T33"/>
  <c r="T34"/>
  <c r="T15"/>
  <c r="T13"/>
  <c r="T39"/>
  <c r="T20"/>
  <c r="T19"/>
  <c r="T25"/>
  <c r="T24"/>
  <c r="P125"/>
  <c r="P116"/>
  <c r="P83"/>
  <c r="P73"/>
  <c r="P72"/>
  <c r="P115"/>
  <c r="P60"/>
  <c r="P47"/>
  <c r="P64"/>
  <c r="P137"/>
  <c r="P122"/>
  <c r="P48"/>
  <c r="P141"/>
  <c r="P70"/>
  <c r="P109"/>
  <c r="P44"/>
  <c r="P132"/>
  <c r="P89"/>
  <c r="P102"/>
  <c r="P92"/>
  <c r="P150"/>
  <c r="P77"/>
  <c r="P88"/>
  <c r="P78"/>
  <c r="P104"/>
  <c r="P58"/>
  <c r="P63"/>
  <c r="P149"/>
  <c r="P151"/>
  <c r="P111"/>
  <c r="P54"/>
  <c r="P57"/>
  <c r="P136"/>
  <c r="P84"/>
  <c r="P112"/>
  <c r="P62"/>
  <c r="P128"/>
  <c r="P46"/>
  <c r="P138"/>
  <c r="P87"/>
  <c r="P61"/>
  <c r="P66"/>
  <c r="P81"/>
  <c r="P82"/>
  <c r="P143"/>
  <c r="P71"/>
  <c r="P67"/>
  <c r="P147"/>
  <c r="P100"/>
  <c r="P140"/>
  <c r="P56"/>
  <c r="P127"/>
  <c r="P91"/>
  <c r="P107"/>
  <c r="P49"/>
  <c r="P52"/>
  <c r="P55"/>
  <c r="P74"/>
  <c r="P108"/>
  <c r="P45"/>
  <c r="P86"/>
  <c r="P59"/>
  <c r="P105"/>
  <c r="P142"/>
  <c r="P133"/>
  <c r="P79"/>
  <c r="P139"/>
  <c r="P114"/>
  <c r="P106"/>
  <c r="P65"/>
  <c r="P98"/>
  <c r="P99"/>
  <c r="P96"/>
  <c r="P101"/>
  <c r="P120"/>
  <c r="P51"/>
  <c r="P103"/>
  <c r="P80"/>
  <c r="P85"/>
  <c r="P134"/>
  <c r="P121"/>
  <c r="P50"/>
  <c r="P69"/>
  <c r="P68"/>
  <c r="P123"/>
  <c r="P53"/>
  <c r="P43"/>
  <c r="P75"/>
  <c r="P113"/>
  <c r="P124"/>
  <c r="P117"/>
  <c r="P119"/>
  <c r="P110"/>
  <c r="P97"/>
  <c r="P148"/>
  <c r="P94"/>
  <c r="P95"/>
  <c r="P90"/>
  <c r="P130"/>
  <c r="P31"/>
  <c r="P25"/>
  <c r="P40"/>
  <c r="P30"/>
  <c r="P15"/>
  <c r="P41"/>
  <c r="P24"/>
  <c r="P34"/>
  <c r="P28"/>
  <c r="P38"/>
  <c r="P26"/>
  <c r="P13"/>
  <c r="P14"/>
  <c r="P20"/>
  <c r="P33"/>
  <c r="P19"/>
  <c r="P32"/>
  <c r="P23"/>
  <c r="P18"/>
  <c r="P39"/>
  <c r="P29"/>
  <c r="P22"/>
  <c r="V17" i="1"/>
  <c r="T17" i="12"/>
  <c r="P17"/>
  <c r="V17"/>
  <c r="Y144" i="5"/>
  <c r="W144"/>
  <c r="U144"/>
  <c r="S144"/>
  <c r="Q144"/>
  <c r="O144"/>
  <c r="O14" i="20"/>
  <c r="AA14"/>
  <c r="M144" i="5"/>
  <c r="K144"/>
  <c r="I144"/>
  <c r="G144"/>
  <c r="E144"/>
  <c r="C144"/>
  <c r="Y144" i="1"/>
  <c r="W144"/>
  <c r="U144"/>
  <c r="S144"/>
  <c r="Q144"/>
  <c r="O144"/>
  <c r="M144"/>
  <c r="I144"/>
  <c r="G144"/>
  <c r="E144"/>
  <c r="C144"/>
  <c r="M6" i="20"/>
  <c r="M50"/>
  <c r="J144" i="12"/>
  <c r="I6" i="20"/>
  <c r="I50"/>
  <c r="H144" i="12"/>
  <c r="G6" i="20"/>
  <c r="G50"/>
  <c r="E6"/>
  <c r="E50"/>
  <c r="D144" i="12"/>
  <c r="C6" i="20"/>
  <c r="C50"/>
  <c r="Z144" i="12"/>
  <c r="Y6" i="20"/>
  <c r="Y50"/>
  <c r="W6"/>
  <c r="W50"/>
  <c r="X144" i="12"/>
  <c r="U6" i="20"/>
  <c r="U50"/>
  <c r="V144" i="12"/>
  <c r="S6" i="20"/>
  <c r="S50"/>
  <c r="Q6"/>
  <c r="Q50"/>
  <c r="R144" i="12"/>
  <c r="O6" i="20"/>
  <c r="P144" i="12"/>
  <c r="T144"/>
  <c r="AO144" i="5"/>
  <c r="L144" i="12"/>
  <c r="AI144" i="1"/>
  <c r="AM144" i="5"/>
  <c r="AK144"/>
  <c r="O50" i="20"/>
  <c r="AA6"/>
  <c r="AA50"/>
  <c r="AF144" i="12"/>
  <c r="D8" i="1"/>
  <c r="D7"/>
  <c r="AK7" i="5"/>
  <c r="AK9"/>
  <c r="J7" i="1"/>
  <c r="N6" i="5"/>
  <c r="M12"/>
  <c r="AK5"/>
  <c r="F7" i="1"/>
  <c r="N127" i="5"/>
  <c r="N72"/>
  <c r="N128"/>
  <c r="N68"/>
  <c r="N65"/>
  <c r="N26"/>
  <c r="N25"/>
  <c r="N122"/>
  <c r="N125"/>
  <c r="N121"/>
  <c r="N120"/>
  <c r="N119"/>
  <c r="AM17"/>
  <c r="N115"/>
  <c r="N66"/>
  <c r="N75"/>
  <c r="AA17"/>
  <c r="N73"/>
  <c r="N71"/>
  <c r="N70"/>
  <c r="AM12"/>
  <c r="N91"/>
  <c r="N141"/>
  <c r="M12" i="1"/>
  <c r="N8"/>
  <c r="N11"/>
  <c r="N10"/>
  <c r="Z7"/>
  <c r="V7"/>
  <c r="R7"/>
  <c r="N7"/>
  <c r="H7"/>
  <c r="X7"/>
  <c r="T7"/>
  <c r="P7"/>
  <c r="L7"/>
  <c r="N65"/>
  <c r="M12" i="12"/>
  <c r="M17"/>
  <c r="N17" s="1"/>
  <c r="N115" i="1"/>
  <c r="N17" i="5"/>
  <c r="N68" i="1"/>
  <c r="N73"/>
  <c r="N71"/>
  <c r="N69"/>
  <c r="N76"/>
  <c r="N75"/>
  <c r="N72"/>
  <c r="N70"/>
  <c r="N46"/>
  <c r="N92"/>
  <c r="N67"/>
  <c r="N141"/>
  <c r="AA8" i="5"/>
  <c r="AN8"/>
  <c r="N118" i="12"/>
  <c r="N81"/>
  <c r="N45"/>
  <c r="N59"/>
  <c r="N136"/>
  <c r="N151"/>
  <c r="N82"/>
  <c r="N98"/>
  <c r="N125"/>
  <c r="N138"/>
  <c r="N62"/>
  <c r="N56"/>
  <c r="N99"/>
  <c r="N75"/>
  <c r="N139"/>
  <c r="N87"/>
  <c r="N71"/>
  <c r="N96"/>
  <c r="N66"/>
  <c r="N109"/>
  <c r="N114"/>
  <c r="N111"/>
  <c r="N68"/>
  <c r="N123"/>
  <c r="N106"/>
  <c r="N103"/>
  <c r="N85"/>
  <c r="N80"/>
  <c r="N43"/>
  <c r="N121"/>
  <c r="N137"/>
  <c r="N57"/>
  <c r="N94"/>
  <c r="N150"/>
  <c r="N116"/>
  <c r="N58"/>
  <c r="N51"/>
  <c r="N95"/>
  <c r="N70"/>
  <c r="N89"/>
  <c r="N54"/>
  <c r="N47"/>
  <c r="N92"/>
  <c r="N149"/>
  <c r="N140"/>
  <c r="N110"/>
  <c r="N107"/>
  <c r="N141"/>
  <c r="N120"/>
  <c r="N148"/>
  <c r="N104"/>
  <c r="N79"/>
  <c r="N78"/>
  <c r="N97"/>
  <c r="N91"/>
  <c r="N52"/>
  <c r="N90"/>
  <c r="N130"/>
  <c r="N73"/>
  <c r="N55"/>
  <c r="N53"/>
  <c r="N65"/>
  <c r="N64"/>
  <c r="N74"/>
  <c r="N49"/>
  <c r="N86"/>
  <c r="N88"/>
  <c r="N147"/>
  <c r="N119"/>
  <c r="N142"/>
  <c r="N72"/>
  <c r="N122"/>
  <c r="N112"/>
  <c r="N133"/>
  <c r="N101"/>
  <c r="N83"/>
  <c r="N60"/>
  <c r="N67"/>
  <c r="N127"/>
  <c r="N84"/>
  <c r="N61"/>
  <c r="N124"/>
  <c r="N128"/>
  <c r="N50"/>
  <c r="N48"/>
  <c r="N63"/>
  <c r="N143"/>
  <c r="N69"/>
  <c r="N46"/>
  <c r="N44"/>
  <c r="N77"/>
  <c r="N100"/>
  <c r="N117"/>
  <c r="N113"/>
  <c r="N134"/>
  <c r="N115"/>
  <c r="N108"/>
  <c r="N132"/>
  <c r="N102"/>
  <c r="N105"/>
  <c r="N31"/>
  <c r="N22"/>
  <c r="N14"/>
  <c r="N39"/>
  <c r="N34"/>
  <c r="N13"/>
  <c r="N23"/>
  <c r="N28"/>
  <c r="N18"/>
  <c r="N33"/>
  <c r="N41"/>
  <c r="N30"/>
  <c r="N29"/>
  <c r="N25"/>
  <c r="N24"/>
  <c r="N38"/>
  <c r="N26"/>
  <c r="N20"/>
  <c r="N32"/>
  <c r="N15"/>
  <c r="N19"/>
  <c r="N40"/>
  <c r="N144"/>
  <c r="N17" i="1"/>
  <c r="AC8" i="5"/>
  <c r="AA148"/>
  <c r="AN148"/>
  <c r="AC148" i="12"/>
  <c r="AC148" i="5"/>
  <c r="AF68" i="12"/>
  <c r="AK45" i="5"/>
  <c r="AK53"/>
  <c r="AK54"/>
  <c r="AI107" i="12"/>
  <c r="AI101"/>
  <c r="AI104"/>
  <c r="AI102"/>
  <c r="AI105"/>
  <c r="AI103"/>
  <c r="AA143" i="5"/>
  <c r="AA142"/>
  <c r="AA140"/>
  <c r="AA139"/>
  <c r="AN139"/>
  <c r="AA138"/>
  <c r="AN138"/>
  <c r="AA137"/>
  <c r="AN137"/>
  <c r="AA136"/>
  <c r="AN136"/>
  <c r="AA133"/>
  <c r="AN128"/>
  <c r="AN127"/>
  <c r="AA125"/>
  <c r="AA124"/>
  <c r="AA123"/>
  <c r="AN122"/>
  <c r="AN121"/>
  <c r="AA117"/>
  <c r="AA116"/>
  <c r="AN94"/>
  <c r="Y93"/>
  <c r="Y15" i="20" s="1"/>
  <c r="W93" i="5"/>
  <c r="W15" i="20" s="1"/>
  <c r="U93" i="5"/>
  <c r="U15" i="20" s="1"/>
  <c r="S93" i="5"/>
  <c r="S15" i="20" s="1"/>
  <c r="Q93" i="5"/>
  <c r="Q15" i="20" s="1"/>
  <c r="O93" i="5"/>
  <c r="O15" i="20" s="1"/>
  <c r="M93" i="5"/>
  <c r="K93"/>
  <c r="K15" i="20" s="1"/>
  <c r="I93" i="5"/>
  <c r="I15" i="20" s="1"/>
  <c r="G93" i="5"/>
  <c r="G15" i="20" s="1"/>
  <c r="E93" i="5"/>
  <c r="E15" i="20" s="1"/>
  <c r="C93" i="5"/>
  <c r="AN91"/>
  <c r="AN90"/>
  <c r="AN89"/>
  <c r="AN80"/>
  <c r="AN62"/>
  <c r="AN61"/>
  <c r="AN60"/>
  <c r="AN59"/>
  <c r="AN58"/>
  <c r="AN56"/>
  <c r="AN55"/>
  <c r="AN53"/>
  <c r="AN51"/>
  <c r="AN44"/>
  <c r="AN43"/>
  <c r="Y41"/>
  <c r="W41"/>
  <c r="U41"/>
  <c r="S41"/>
  <c r="O41"/>
  <c r="M41"/>
  <c r="I41"/>
  <c r="G41"/>
  <c r="E41"/>
  <c r="C41"/>
  <c r="AA40"/>
  <c r="AA38"/>
  <c r="AA34"/>
  <c r="AA33"/>
  <c r="AA32"/>
  <c r="AA31"/>
  <c r="AA30"/>
  <c r="AA29"/>
  <c r="AA28"/>
  <c r="AA26"/>
  <c r="AA25"/>
  <c r="AN25"/>
  <c r="AA24"/>
  <c r="AA23"/>
  <c r="AA20"/>
  <c r="AA19"/>
  <c r="AN19"/>
  <c r="AA18"/>
  <c r="AN18"/>
  <c r="Y15"/>
  <c r="W15"/>
  <c r="U15"/>
  <c r="S15"/>
  <c r="Q15"/>
  <c r="AO15"/>
  <c r="O15"/>
  <c r="M15"/>
  <c r="K15"/>
  <c r="I15"/>
  <c r="G15"/>
  <c r="E15"/>
  <c r="C15"/>
  <c r="AM15"/>
  <c r="AA14"/>
  <c r="AA13"/>
  <c r="AN13"/>
  <c r="AN9"/>
  <c r="AA7"/>
  <c r="AN7"/>
  <c r="AA6"/>
  <c r="AN6"/>
  <c r="AA5"/>
  <c r="AA5" i="12"/>
  <c r="AN81" i="5"/>
  <c r="M15" i="20"/>
  <c r="AN64" i="5"/>
  <c r="AN63"/>
  <c r="AN67"/>
  <c r="AN29"/>
  <c r="AN28"/>
  <c r="AN40"/>
  <c r="AN31"/>
  <c r="AN38"/>
  <c r="AN140"/>
  <c r="AN33"/>
  <c r="AN117"/>
  <c r="AN143"/>
  <c r="AN14"/>
  <c r="AN23"/>
  <c r="AN32"/>
  <c r="AN116"/>
  <c r="AN142"/>
  <c r="AN20"/>
  <c r="AN30"/>
  <c r="AN34"/>
  <c r="AN92"/>
  <c r="AN133"/>
  <c r="AN15"/>
  <c r="AN83"/>
  <c r="AC83" i="12"/>
  <c r="AN87" i="5"/>
  <c r="AC87" i="12"/>
  <c r="AN86" i="5"/>
  <c r="AC86" i="12"/>
  <c r="AN84" i="5"/>
  <c r="AC84" i="12"/>
  <c r="AC69" i="5"/>
  <c r="AN69"/>
  <c r="AN88"/>
  <c r="AN85"/>
  <c r="AC85" i="12"/>
  <c r="AN82" i="5"/>
  <c r="AC82" i="12"/>
  <c r="AN66" i="5"/>
  <c r="AC66" i="12"/>
  <c r="AN120" i="5"/>
  <c r="AN119"/>
  <c r="AN123"/>
  <c r="AN125"/>
  <c r="AN124"/>
  <c r="AG9"/>
  <c r="AN24"/>
  <c r="AN47"/>
  <c r="AN50"/>
  <c r="AN49"/>
  <c r="AN48"/>
  <c r="AN26"/>
  <c r="AN54"/>
  <c r="AN68"/>
  <c r="AN52"/>
  <c r="AN5"/>
  <c r="AB11"/>
  <c r="AB10"/>
  <c r="AB8"/>
  <c r="AB7"/>
  <c r="AB6"/>
  <c r="AA12"/>
  <c r="AB9"/>
  <c r="AK15"/>
  <c r="AK12"/>
  <c r="D144"/>
  <c r="F144"/>
  <c r="R144"/>
  <c r="Z144"/>
  <c r="AC14"/>
  <c r="AC19"/>
  <c r="AC20"/>
  <c r="AC44"/>
  <c r="AC48"/>
  <c r="AC50"/>
  <c r="AC52"/>
  <c r="AC58"/>
  <c r="P144"/>
  <c r="X144"/>
  <c r="AC23"/>
  <c r="AC25"/>
  <c r="AC38"/>
  <c r="V144"/>
  <c r="AC40"/>
  <c r="AC59"/>
  <c r="AC61"/>
  <c r="AC63"/>
  <c r="L144"/>
  <c r="T144"/>
  <c r="AC123"/>
  <c r="AC142"/>
  <c r="AC121"/>
  <c r="AC119"/>
  <c r="AC56"/>
  <c r="AC54"/>
  <c r="J144"/>
  <c r="N148"/>
  <c r="N144"/>
  <c r="AA144"/>
  <c r="AN144"/>
  <c r="H144"/>
  <c r="J148"/>
  <c r="R148"/>
  <c r="Z148"/>
  <c r="H148"/>
  <c r="P148"/>
  <c r="X148"/>
  <c r="D148"/>
  <c r="V148"/>
  <c r="F148"/>
  <c r="L148"/>
  <c r="T148"/>
  <c r="AC122"/>
  <c r="F69"/>
  <c r="F116"/>
  <c r="F67"/>
  <c r="F64"/>
  <c r="F63"/>
  <c r="F62"/>
  <c r="F61"/>
  <c r="F60"/>
  <c r="F59"/>
  <c r="F58"/>
  <c r="F57"/>
  <c r="N34"/>
  <c r="N69"/>
  <c r="N116"/>
  <c r="N67"/>
  <c r="N64"/>
  <c r="N63"/>
  <c r="N62"/>
  <c r="N61"/>
  <c r="N60"/>
  <c r="N59"/>
  <c r="N58"/>
  <c r="N57"/>
  <c r="Z33"/>
  <c r="Z69"/>
  <c r="Z116"/>
  <c r="Z67"/>
  <c r="Z64"/>
  <c r="Z63"/>
  <c r="Z62"/>
  <c r="Z61"/>
  <c r="Z60"/>
  <c r="Z59"/>
  <c r="Z58"/>
  <c r="Z57"/>
  <c r="J33"/>
  <c r="J69"/>
  <c r="J116"/>
  <c r="J67"/>
  <c r="J64"/>
  <c r="J63"/>
  <c r="J62"/>
  <c r="J61"/>
  <c r="J60"/>
  <c r="J59"/>
  <c r="J58"/>
  <c r="J57"/>
  <c r="R33"/>
  <c r="R69"/>
  <c r="R116"/>
  <c r="R67"/>
  <c r="R64"/>
  <c r="R63"/>
  <c r="R62"/>
  <c r="R61"/>
  <c r="R60"/>
  <c r="R59"/>
  <c r="R58"/>
  <c r="R57"/>
  <c r="V34"/>
  <c r="V69"/>
  <c r="V116"/>
  <c r="V67"/>
  <c r="V64"/>
  <c r="V63"/>
  <c r="V62"/>
  <c r="V61"/>
  <c r="V60"/>
  <c r="V59"/>
  <c r="V58"/>
  <c r="V57"/>
  <c r="D29"/>
  <c r="H67"/>
  <c r="H64"/>
  <c r="H63"/>
  <c r="H61"/>
  <c r="H60"/>
  <c r="H59"/>
  <c r="H58"/>
  <c r="H57"/>
  <c r="H116"/>
  <c r="H69"/>
  <c r="L29"/>
  <c r="L67"/>
  <c r="L64"/>
  <c r="L63"/>
  <c r="L62"/>
  <c r="L61"/>
  <c r="L60"/>
  <c r="L59"/>
  <c r="L58"/>
  <c r="L57"/>
  <c r="L116"/>
  <c r="L69"/>
  <c r="P67"/>
  <c r="P64"/>
  <c r="P63"/>
  <c r="P62"/>
  <c r="P61"/>
  <c r="P60"/>
  <c r="P59"/>
  <c r="P58"/>
  <c r="P57"/>
  <c r="P116"/>
  <c r="P69"/>
  <c r="T29"/>
  <c r="T67"/>
  <c r="T64"/>
  <c r="T63"/>
  <c r="T62"/>
  <c r="T61"/>
  <c r="T60"/>
  <c r="T59"/>
  <c r="T58"/>
  <c r="T57"/>
  <c r="T116"/>
  <c r="T69"/>
  <c r="X67"/>
  <c r="X64"/>
  <c r="X63"/>
  <c r="X62"/>
  <c r="X61"/>
  <c r="X60"/>
  <c r="X59"/>
  <c r="X58"/>
  <c r="X57"/>
  <c r="X116"/>
  <c r="X69"/>
  <c r="L12"/>
  <c r="AC28"/>
  <c r="AC60"/>
  <c r="AC62"/>
  <c r="AC64"/>
  <c r="AC124"/>
  <c r="D12"/>
  <c r="F140"/>
  <c r="F139"/>
  <c r="F137"/>
  <c r="F136"/>
  <c r="F143"/>
  <c r="F142"/>
  <c r="F138"/>
  <c r="F56"/>
  <c r="F54"/>
  <c r="F52"/>
  <c r="F50"/>
  <c r="F48"/>
  <c r="F46"/>
  <c r="F44"/>
  <c r="F40"/>
  <c r="F89"/>
  <c r="F87"/>
  <c r="F85"/>
  <c r="F83"/>
  <c r="F81"/>
  <c r="F79"/>
  <c r="F77"/>
  <c r="F39"/>
  <c r="F55"/>
  <c r="F53"/>
  <c r="F51"/>
  <c r="F49"/>
  <c r="F47"/>
  <c r="F45"/>
  <c r="F43"/>
  <c r="F92"/>
  <c r="F90"/>
  <c r="F88"/>
  <c r="F86"/>
  <c r="F84"/>
  <c r="F82"/>
  <c r="F80"/>
  <c r="F78"/>
  <c r="F38"/>
  <c r="F29"/>
  <c r="F34"/>
  <c r="F32"/>
  <c r="F30"/>
  <c r="F28"/>
  <c r="F24"/>
  <c r="E16"/>
  <c r="E27"/>
  <c r="F27"/>
  <c r="F12"/>
  <c r="F33"/>
  <c r="F31"/>
  <c r="F23"/>
  <c r="F22"/>
  <c r="F19"/>
  <c r="H143"/>
  <c r="H142"/>
  <c r="H138"/>
  <c r="H140"/>
  <c r="H136"/>
  <c r="H139"/>
  <c r="H137"/>
  <c r="H55"/>
  <c r="H53"/>
  <c r="H51"/>
  <c r="H49"/>
  <c r="H47"/>
  <c r="H45"/>
  <c r="H43"/>
  <c r="H92"/>
  <c r="H90"/>
  <c r="H88"/>
  <c r="H86"/>
  <c r="H84"/>
  <c r="H82"/>
  <c r="H80"/>
  <c r="H78"/>
  <c r="H38"/>
  <c r="H56"/>
  <c r="H54"/>
  <c r="H52"/>
  <c r="H50"/>
  <c r="H48"/>
  <c r="H46"/>
  <c r="H44"/>
  <c r="H40"/>
  <c r="H89"/>
  <c r="H87"/>
  <c r="H85"/>
  <c r="H83"/>
  <c r="H81"/>
  <c r="H79"/>
  <c r="H77"/>
  <c r="H39"/>
  <c r="P143"/>
  <c r="P142"/>
  <c r="P138"/>
  <c r="P140"/>
  <c r="P136"/>
  <c r="P139"/>
  <c r="P137"/>
  <c r="P55"/>
  <c r="P53"/>
  <c r="P51"/>
  <c r="P49"/>
  <c r="P47"/>
  <c r="P43"/>
  <c r="P39"/>
  <c r="P92"/>
  <c r="P90"/>
  <c r="P88"/>
  <c r="P86"/>
  <c r="P84"/>
  <c r="P82"/>
  <c r="P80"/>
  <c r="P78"/>
  <c r="P38"/>
  <c r="P56"/>
  <c r="P54"/>
  <c r="P52"/>
  <c r="P50"/>
  <c r="P48"/>
  <c r="P46"/>
  <c r="P44"/>
  <c r="P89"/>
  <c r="P87"/>
  <c r="P85"/>
  <c r="P83"/>
  <c r="P81"/>
  <c r="P79"/>
  <c r="P77"/>
  <c r="X143"/>
  <c r="X140"/>
  <c r="X139"/>
  <c r="X138"/>
  <c r="X136"/>
  <c r="X142"/>
  <c r="X137"/>
  <c r="X55"/>
  <c r="X53"/>
  <c r="X51"/>
  <c r="X49"/>
  <c r="X47"/>
  <c r="X45"/>
  <c r="X43"/>
  <c r="X92"/>
  <c r="X90"/>
  <c r="X88"/>
  <c r="X86"/>
  <c r="X84"/>
  <c r="X82"/>
  <c r="X80"/>
  <c r="X78"/>
  <c r="X39"/>
  <c r="X38"/>
  <c r="X56"/>
  <c r="X54"/>
  <c r="X52"/>
  <c r="X50"/>
  <c r="X48"/>
  <c r="X46"/>
  <c r="X44"/>
  <c r="X40"/>
  <c r="X89"/>
  <c r="X87"/>
  <c r="X85"/>
  <c r="X83"/>
  <c r="X81"/>
  <c r="X79"/>
  <c r="X77"/>
  <c r="AC5"/>
  <c r="AC6"/>
  <c r="AA15"/>
  <c r="C16"/>
  <c r="C27"/>
  <c r="D27"/>
  <c r="K16"/>
  <c r="K27"/>
  <c r="L27"/>
  <c r="S16"/>
  <c r="J19"/>
  <c r="N19"/>
  <c r="R19"/>
  <c r="X19"/>
  <c r="J22"/>
  <c r="N22"/>
  <c r="R22"/>
  <c r="V22"/>
  <c r="J23"/>
  <c r="N23"/>
  <c r="R23"/>
  <c r="X23"/>
  <c r="Z24"/>
  <c r="AC24"/>
  <c r="D28"/>
  <c r="H28"/>
  <c r="L28"/>
  <c r="P28"/>
  <c r="T28"/>
  <c r="V29"/>
  <c r="Z29"/>
  <c r="AC29"/>
  <c r="D30"/>
  <c r="H30"/>
  <c r="L30"/>
  <c r="P30"/>
  <c r="T30"/>
  <c r="X30"/>
  <c r="J31"/>
  <c r="N31"/>
  <c r="R31"/>
  <c r="V31"/>
  <c r="Z31"/>
  <c r="AC31"/>
  <c r="D32"/>
  <c r="H32"/>
  <c r="L32"/>
  <c r="P32"/>
  <c r="T32"/>
  <c r="X32"/>
  <c r="N33"/>
  <c r="V33"/>
  <c r="AC33"/>
  <c r="D34"/>
  <c r="H34"/>
  <c r="L34"/>
  <c r="P34"/>
  <c r="T34"/>
  <c r="X34"/>
  <c r="J140"/>
  <c r="J139"/>
  <c r="J137"/>
  <c r="J143"/>
  <c r="J142"/>
  <c r="J138"/>
  <c r="J136"/>
  <c r="J56"/>
  <c r="J54"/>
  <c r="J52"/>
  <c r="J50"/>
  <c r="J48"/>
  <c r="J46"/>
  <c r="J44"/>
  <c r="J40"/>
  <c r="J39"/>
  <c r="J89"/>
  <c r="J87"/>
  <c r="J85"/>
  <c r="J83"/>
  <c r="J81"/>
  <c r="J79"/>
  <c r="J77"/>
  <c r="J55"/>
  <c r="J53"/>
  <c r="J51"/>
  <c r="J49"/>
  <c r="J47"/>
  <c r="J45"/>
  <c r="J43"/>
  <c r="J41"/>
  <c r="J92"/>
  <c r="J90"/>
  <c r="J88"/>
  <c r="J86"/>
  <c r="J84"/>
  <c r="J82"/>
  <c r="J80"/>
  <c r="J78"/>
  <c r="J38"/>
  <c r="R140"/>
  <c r="R139"/>
  <c r="R137"/>
  <c r="R143"/>
  <c r="R142"/>
  <c r="R138"/>
  <c r="R136"/>
  <c r="R56"/>
  <c r="R54"/>
  <c r="R52"/>
  <c r="R50"/>
  <c r="R48"/>
  <c r="R46"/>
  <c r="R44"/>
  <c r="R40"/>
  <c r="R89"/>
  <c r="R87"/>
  <c r="R85"/>
  <c r="R83"/>
  <c r="R81"/>
  <c r="R79"/>
  <c r="R77"/>
  <c r="R55"/>
  <c r="R53"/>
  <c r="R51"/>
  <c r="R49"/>
  <c r="R47"/>
  <c r="R45"/>
  <c r="R43"/>
  <c r="R92"/>
  <c r="R90"/>
  <c r="R88"/>
  <c r="R86"/>
  <c r="R84"/>
  <c r="R82"/>
  <c r="R80"/>
  <c r="R78"/>
  <c r="R38"/>
  <c r="Z142"/>
  <c r="Z140"/>
  <c r="Z137"/>
  <c r="Z143"/>
  <c r="Z139"/>
  <c r="Z138"/>
  <c r="Z136"/>
  <c r="Z56"/>
  <c r="Z54"/>
  <c r="Z52"/>
  <c r="Z50"/>
  <c r="Z48"/>
  <c r="Z46"/>
  <c r="Z44"/>
  <c r="Z40"/>
  <c r="Z89"/>
  <c r="Z87"/>
  <c r="Z85"/>
  <c r="Z83"/>
  <c r="Z81"/>
  <c r="Z79"/>
  <c r="Z77"/>
  <c r="Z55"/>
  <c r="Z53"/>
  <c r="Z51"/>
  <c r="Z49"/>
  <c r="Z47"/>
  <c r="Z45"/>
  <c r="Z43"/>
  <c r="Z39"/>
  <c r="Z92"/>
  <c r="Z90"/>
  <c r="Z88"/>
  <c r="Z86"/>
  <c r="Z84"/>
  <c r="Z82"/>
  <c r="Z80"/>
  <c r="Z78"/>
  <c r="Z38"/>
  <c r="AC7"/>
  <c r="N12"/>
  <c r="V12"/>
  <c r="M16"/>
  <c r="M27"/>
  <c r="N27"/>
  <c r="U16"/>
  <c r="U27"/>
  <c r="V27"/>
  <c r="AC18"/>
  <c r="V19"/>
  <c r="X22"/>
  <c r="AA22"/>
  <c r="V23"/>
  <c r="J24"/>
  <c r="N24"/>
  <c r="R24"/>
  <c r="X24"/>
  <c r="Z28"/>
  <c r="H29"/>
  <c r="P29"/>
  <c r="D93"/>
  <c r="L93"/>
  <c r="D143"/>
  <c r="D136"/>
  <c r="D116"/>
  <c r="D142"/>
  <c r="D138"/>
  <c r="D140"/>
  <c r="D139"/>
  <c r="D137"/>
  <c r="D63"/>
  <c r="D61"/>
  <c r="D59"/>
  <c r="D57"/>
  <c r="D55"/>
  <c r="D53"/>
  <c r="D51"/>
  <c r="D49"/>
  <c r="D47"/>
  <c r="D45"/>
  <c r="D43"/>
  <c r="D92"/>
  <c r="D90"/>
  <c r="D88"/>
  <c r="D86"/>
  <c r="D84"/>
  <c r="D82"/>
  <c r="D80"/>
  <c r="D67"/>
  <c r="D41"/>
  <c r="D38"/>
  <c r="D69"/>
  <c r="D64"/>
  <c r="D62"/>
  <c r="D60"/>
  <c r="D58"/>
  <c r="D56"/>
  <c r="D54"/>
  <c r="D52"/>
  <c r="D50"/>
  <c r="D48"/>
  <c r="D46"/>
  <c r="D44"/>
  <c r="D40"/>
  <c r="D89"/>
  <c r="D87"/>
  <c r="D85"/>
  <c r="D83"/>
  <c r="D81"/>
  <c r="D39"/>
  <c r="L143"/>
  <c r="L136"/>
  <c r="L142"/>
  <c r="L138"/>
  <c r="L140"/>
  <c r="L139"/>
  <c r="L137"/>
  <c r="L55"/>
  <c r="L53"/>
  <c r="L51"/>
  <c r="L49"/>
  <c r="L47"/>
  <c r="L45"/>
  <c r="L43"/>
  <c r="L92"/>
  <c r="L90"/>
  <c r="L88"/>
  <c r="L86"/>
  <c r="L84"/>
  <c r="L82"/>
  <c r="L80"/>
  <c r="L78"/>
  <c r="L38"/>
  <c r="L56"/>
  <c r="L54"/>
  <c r="L52"/>
  <c r="L50"/>
  <c r="L48"/>
  <c r="L46"/>
  <c r="L44"/>
  <c r="L40"/>
  <c r="L89"/>
  <c r="L87"/>
  <c r="L85"/>
  <c r="L83"/>
  <c r="L81"/>
  <c r="L79"/>
  <c r="L77"/>
  <c r="T143"/>
  <c r="T136"/>
  <c r="T142"/>
  <c r="T138"/>
  <c r="T140"/>
  <c r="T139"/>
  <c r="T137"/>
  <c r="T93"/>
  <c r="T55"/>
  <c r="T53"/>
  <c r="T51"/>
  <c r="T49"/>
  <c r="T47"/>
  <c r="T45"/>
  <c r="T43"/>
  <c r="T92"/>
  <c r="T90"/>
  <c r="T88"/>
  <c r="T86"/>
  <c r="T84"/>
  <c r="T82"/>
  <c r="T80"/>
  <c r="T78"/>
  <c r="T41"/>
  <c r="T38"/>
  <c r="T56"/>
  <c r="T54"/>
  <c r="T52"/>
  <c r="T50"/>
  <c r="T48"/>
  <c r="T46"/>
  <c r="T44"/>
  <c r="T40"/>
  <c r="T89"/>
  <c r="T87"/>
  <c r="T85"/>
  <c r="T83"/>
  <c r="T81"/>
  <c r="T79"/>
  <c r="T77"/>
  <c r="T39"/>
  <c r="AC9"/>
  <c r="H12"/>
  <c r="P12"/>
  <c r="X12"/>
  <c r="AC13"/>
  <c r="G16"/>
  <c r="G27"/>
  <c r="H27"/>
  <c r="O16"/>
  <c r="O27"/>
  <c r="P27"/>
  <c r="W16"/>
  <c r="W27"/>
  <c r="X27"/>
  <c r="D19"/>
  <c r="H19"/>
  <c r="L19"/>
  <c r="P19"/>
  <c r="T19"/>
  <c r="D22"/>
  <c r="H22"/>
  <c r="L22"/>
  <c r="P22"/>
  <c r="T22"/>
  <c r="Z22"/>
  <c r="D23"/>
  <c r="H23"/>
  <c r="L23"/>
  <c r="P23"/>
  <c r="T23"/>
  <c r="V24"/>
  <c r="AC26"/>
  <c r="J28"/>
  <c r="N28"/>
  <c r="R28"/>
  <c r="X28"/>
  <c r="X29"/>
  <c r="J30"/>
  <c r="N30"/>
  <c r="R30"/>
  <c r="V30"/>
  <c r="Z30"/>
  <c r="AC30"/>
  <c r="D31"/>
  <c r="H31"/>
  <c r="L31"/>
  <c r="P31"/>
  <c r="T31"/>
  <c r="X31"/>
  <c r="J32"/>
  <c r="N32"/>
  <c r="R32"/>
  <c r="V32"/>
  <c r="Z32"/>
  <c r="AC32"/>
  <c r="D33"/>
  <c r="H33"/>
  <c r="L33"/>
  <c r="P33"/>
  <c r="T33"/>
  <c r="X33"/>
  <c r="J34"/>
  <c r="R34"/>
  <c r="Z34"/>
  <c r="AC34"/>
  <c r="N140"/>
  <c r="N139"/>
  <c r="N137"/>
  <c r="N136"/>
  <c r="N143"/>
  <c r="N142"/>
  <c r="N138"/>
  <c r="N56"/>
  <c r="N54"/>
  <c r="N52"/>
  <c r="N50"/>
  <c r="N48"/>
  <c r="N46"/>
  <c r="N44"/>
  <c r="N40"/>
  <c r="N89"/>
  <c r="N87"/>
  <c r="N85"/>
  <c r="N83"/>
  <c r="N81"/>
  <c r="N79"/>
  <c r="N77"/>
  <c r="N55"/>
  <c r="N53"/>
  <c r="N51"/>
  <c r="N49"/>
  <c r="N47"/>
  <c r="N45"/>
  <c r="N43"/>
  <c r="N92"/>
  <c r="N90"/>
  <c r="N88"/>
  <c r="N86"/>
  <c r="N84"/>
  <c r="N82"/>
  <c r="N80"/>
  <c r="N78"/>
  <c r="N39"/>
  <c r="N38"/>
  <c r="V139"/>
  <c r="V137"/>
  <c r="V136"/>
  <c r="V143"/>
  <c r="V142"/>
  <c r="V140"/>
  <c r="V138"/>
  <c r="V56"/>
  <c r="V54"/>
  <c r="V52"/>
  <c r="V50"/>
  <c r="V48"/>
  <c r="V46"/>
  <c r="V44"/>
  <c r="V41"/>
  <c r="V39"/>
  <c r="V89"/>
  <c r="V87"/>
  <c r="V85"/>
  <c r="V83"/>
  <c r="V81"/>
  <c r="V79"/>
  <c r="V77"/>
  <c r="V55"/>
  <c r="V53"/>
  <c r="V51"/>
  <c r="V49"/>
  <c r="V47"/>
  <c r="V45"/>
  <c r="V43"/>
  <c r="V92"/>
  <c r="V90"/>
  <c r="V88"/>
  <c r="V86"/>
  <c r="V84"/>
  <c r="V82"/>
  <c r="V80"/>
  <c r="V78"/>
  <c r="V38"/>
  <c r="J12"/>
  <c r="R12"/>
  <c r="Z12"/>
  <c r="I16"/>
  <c r="I27"/>
  <c r="J27"/>
  <c r="Q16"/>
  <c r="Y16"/>
  <c r="Y27"/>
  <c r="Z27"/>
  <c r="Z19"/>
  <c r="Z23"/>
  <c r="D24"/>
  <c r="H24"/>
  <c r="L24"/>
  <c r="P24"/>
  <c r="T24"/>
  <c r="V28"/>
  <c r="J29"/>
  <c r="N29"/>
  <c r="R29"/>
  <c r="H41"/>
  <c r="P41"/>
  <c r="X41"/>
  <c r="AC65"/>
  <c r="AC68"/>
  <c r="AC78"/>
  <c r="AC80"/>
  <c r="AC82"/>
  <c r="AC84"/>
  <c r="AC86"/>
  <c r="AC88"/>
  <c r="AC90"/>
  <c r="AC92"/>
  <c r="F93"/>
  <c r="N93"/>
  <c r="V93"/>
  <c r="AM115"/>
  <c r="Z41"/>
  <c r="AC43"/>
  <c r="AC45"/>
  <c r="AC47"/>
  <c r="AC49"/>
  <c r="AC51"/>
  <c r="AC53"/>
  <c r="AC55"/>
  <c r="AC57"/>
  <c r="H93"/>
  <c r="P93"/>
  <c r="X93"/>
  <c r="AA93"/>
  <c r="AC66"/>
  <c r="AC67"/>
  <c r="AC77"/>
  <c r="AC79"/>
  <c r="AC81"/>
  <c r="AC83"/>
  <c r="AC85"/>
  <c r="AC87"/>
  <c r="AC89"/>
  <c r="AC91"/>
  <c r="J93"/>
  <c r="R93"/>
  <c r="Z93"/>
  <c r="F41"/>
  <c r="N41"/>
  <c r="AC127"/>
  <c r="AC133"/>
  <c r="AC136"/>
  <c r="AC138"/>
  <c r="AC117"/>
  <c r="AC120"/>
  <c r="AC139"/>
  <c r="AC143"/>
  <c r="AC125"/>
  <c r="AC128"/>
  <c r="AC137"/>
  <c r="AC140"/>
  <c r="AC116"/>
  <c r="AB68"/>
  <c r="AB118"/>
  <c r="Q126"/>
  <c r="R126"/>
  <c r="Q27"/>
  <c r="R27"/>
  <c r="S126"/>
  <c r="T126"/>
  <c r="S27"/>
  <c r="T27"/>
  <c r="Y126"/>
  <c r="Z126"/>
  <c r="Y10" i="20"/>
  <c r="W126" i="5"/>
  <c r="X126"/>
  <c r="W10" i="20"/>
  <c r="U126" i="5"/>
  <c r="V126"/>
  <c r="U10" i="20"/>
  <c r="O42" i="5"/>
  <c r="O42" i="12"/>
  <c r="O126" i="5"/>
  <c r="P126"/>
  <c r="M126"/>
  <c r="N126"/>
  <c r="M42"/>
  <c r="M42" i="12"/>
  <c r="M10" i="20"/>
  <c r="K126" i="5"/>
  <c r="L126"/>
  <c r="K42"/>
  <c r="K42" i="12"/>
  <c r="K10" i="20"/>
  <c r="I126" i="5"/>
  <c r="J126"/>
  <c r="I42"/>
  <c r="I42" i="12"/>
  <c r="I10" i="20"/>
  <c r="G42" i="5"/>
  <c r="G42" i="12"/>
  <c r="G126" i="5"/>
  <c r="H126"/>
  <c r="G10" i="20"/>
  <c r="E42" i="5"/>
  <c r="E42" i="12"/>
  <c r="E126" i="5"/>
  <c r="F126"/>
  <c r="E10" i="20"/>
  <c r="C126" i="5"/>
  <c r="D126"/>
  <c r="C42"/>
  <c r="C42" i="12"/>
  <c r="C10" i="20"/>
  <c r="S10"/>
  <c r="Q10"/>
  <c r="O10"/>
  <c r="AN22" i="5"/>
  <c r="Y42"/>
  <c r="Y42" i="12"/>
  <c r="W42" i="5"/>
  <c r="W42" i="12"/>
  <c r="U42" i="5"/>
  <c r="U42" i="12"/>
  <c r="S42" i="5"/>
  <c r="S42" i="12"/>
  <c r="AO16" i="5"/>
  <c r="Q42"/>
  <c r="Q42" i="12"/>
  <c r="G76" i="5"/>
  <c r="G76" i="12"/>
  <c r="AB115" i="5"/>
  <c r="AN12"/>
  <c r="AB75"/>
  <c r="AB72"/>
  <c r="AB70"/>
  <c r="AB73"/>
  <c r="AB71"/>
  <c r="AN115"/>
  <c r="AM16"/>
  <c r="X17" i="12"/>
  <c r="Z17"/>
  <c r="AB141" i="5"/>
  <c r="O129"/>
  <c r="M35"/>
  <c r="U35"/>
  <c r="K35"/>
  <c r="S129"/>
  <c r="AK115"/>
  <c r="AD11"/>
  <c r="AD6"/>
  <c r="AD10"/>
  <c r="AD8"/>
  <c r="AD7"/>
  <c r="AC12"/>
  <c r="AD9"/>
  <c r="AK17"/>
  <c r="AK16"/>
  <c r="W21"/>
  <c r="AC144"/>
  <c r="S21"/>
  <c r="G21"/>
  <c r="C21"/>
  <c r="Q21"/>
  <c r="AO21"/>
  <c r="I21"/>
  <c r="M21"/>
  <c r="E21"/>
  <c r="E129"/>
  <c r="O21"/>
  <c r="K21"/>
  <c r="U21"/>
  <c r="Y21"/>
  <c r="AB116"/>
  <c r="AB43"/>
  <c r="AB12"/>
  <c r="AB25"/>
  <c r="AB29"/>
  <c r="AB89"/>
  <c r="AB91"/>
  <c r="AB44"/>
  <c r="AB124"/>
  <c r="AB88"/>
  <c r="AB49"/>
  <c r="AB122"/>
  <c r="AB60"/>
  <c r="AB62"/>
  <c r="AB87"/>
  <c r="AB50"/>
  <c r="AB140"/>
  <c r="AB86"/>
  <c r="AB47"/>
  <c r="AB120"/>
  <c r="AB137"/>
  <c r="AB139"/>
  <c r="AB34"/>
  <c r="AB33"/>
  <c r="AB81"/>
  <c r="AB83"/>
  <c r="AB56"/>
  <c r="AB84"/>
  <c r="AB128"/>
  <c r="AB123"/>
  <c r="AB138"/>
  <c r="AB117"/>
  <c r="AB30"/>
  <c r="AB67"/>
  <c r="AB24"/>
  <c r="AB77"/>
  <c r="AB79"/>
  <c r="AB54"/>
  <c r="AB90"/>
  <c r="AB142"/>
  <c r="H16"/>
  <c r="T16"/>
  <c r="J16"/>
  <c r="P40"/>
  <c r="P16"/>
  <c r="AC22"/>
  <c r="N16"/>
  <c r="F16"/>
  <c r="R16"/>
  <c r="X16"/>
  <c r="V40"/>
  <c r="V16"/>
  <c r="D16"/>
  <c r="AC93"/>
  <c r="Z16"/>
  <c r="AC15"/>
  <c r="L16"/>
  <c r="W129"/>
  <c r="M129"/>
  <c r="AD122"/>
  <c r="AD118"/>
  <c r="AA10" i="20"/>
  <c r="Y76" i="5"/>
  <c r="Y76" i="12"/>
  <c r="Z42" i="5"/>
  <c r="W76"/>
  <c r="W76" i="12"/>
  <c r="X42" i="5"/>
  <c r="U76"/>
  <c r="U76" i="12"/>
  <c r="V42" i="5"/>
  <c r="S76"/>
  <c r="S76" i="12"/>
  <c r="T42" i="5"/>
  <c r="AO27"/>
  <c r="AO126"/>
  <c r="Q76"/>
  <c r="Q76" i="12"/>
  <c r="AO42" i="5"/>
  <c r="R42"/>
  <c r="O76"/>
  <c r="O76" i="12"/>
  <c r="P42" i="5"/>
  <c r="M76"/>
  <c r="M76" i="12"/>
  <c r="N42" i="5"/>
  <c r="K76"/>
  <c r="K76" i="12"/>
  <c r="L42" i="5"/>
  <c r="I76"/>
  <c r="I76" i="12"/>
  <c r="J42" i="5"/>
  <c r="H42"/>
  <c r="H76"/>
  <c r="E76"/>
  <c r="E76" i="12"/>
  <c r="F42" i="5"/>
  <c r="C76"/>
  <c r="C76" i="12"/>
  <c r="AM42" i="5"/>
  <c r="AK42"/>
  <c r="AA42"/>
  <c r="AA42" i="12"/>
  <c r="D42" i="5"/>
  <c r="AD121"/>
  <c r="AD115"/>
  <c r="AM27"/>
  <c r="AD123"/>
  <c r="AD120"/>
  <c r="AD119"/>
  <c r="X129"/>
  <c r="AD73"/>
  <c r="AD71"/>
  <c r="AD75"/>
  <c r="AD72"/>
  <c r="AD70"/>
  <c r="AM126"/>
  <c r="AM21"/>
  <c r="I129"/>
  <c r="AA21"/>
  <c r="AB21"/>
  <c r="AN17"/>
  <c r="Y35"/>
  <c r="Y36"/>
  <c r="Y11" i="20"/>
  <c r="I35" i="5"/>
  <c r="J35"/>
  <c r="E35"/>
  <c r="F35"/>
  <c r="AD141"/>
  <c r="W35"/>
  <c r="X35"/>
  <c r="AC17"/>
  <c r="AC21"/>
  <c r="G129"/>
  <c r="U129"/>
  <c r="Q35"/>
  <c r="C35"/>
  <c r="Y129"/>
  <c r="Q129"/>
  <c r="S35"/>
  <c r="K129"/>
  <c r="AA27"/>
  <c r="AK27"/>
  <c r="C129"/>
  <c r="G35"/>
  <c r="G36"/>
  <c r="G11" i="20"/>
  <c r="AA126" i="5"/>
  <c r="AB126"/>
  <c r="O35"/>
  <c r="P35"/>
  <c r="AK126"/>
  <c r="AB22"/>
  <c r="AB93"/>
  <c r="AB17"/>
  <c r="AB136"/>
  <c r="AB125"/>
  <c r="AB63"/>
  <c r="AB82"/>
  <c r="AB121"/>
  <c r="AB92"/>
  <c r="AB48"/>
  <c r="AB61"/>
  <c r="AB19"/>
  <c r="AB143"/>
  <c r="AB55"/>
  <c r="AB78"/>
  <c r="AB85"/>
  <c r="AB133"/>
  <c r="AB52"/>
  <c r="AB69"/>
  <c r="AB64"/>
  <c r="AA16"/>
  <c r="AN16"/>
  <c r="AB45"/>
  <c r="AB119"/>
  <c r="AB46"/>
  <c r="AB31"/>
  <c r="AB26"/>
  <c r="AB53"/>
  <c r="AB66"/>
  <c r="AB32"/>
  <c r="AB51"/>
  <c r="AB127"/>
  <c r="AB58"/>
  <c r="AB59"/>
  <c r="AB23"/>
  <c r="AB57"/>
  <c r="AB80"/>
  <c r="AB40"/>
  <c r="AB38"/>
  <c r="AB28"/>
  <c r="AB65"/>
  <c r="AK21"/>
  <c r="X21"/>
  <c r="AB148"/>
  <c r="AB144"/>
  <c r="T21"/>
  <c r="AD67"/>
  <c r="Z21"/>
  <c r="K36"/>
  <c r="K11" i="20"/>
  <c r="L21" i="5"/>
  <c r="P21"/>
  <c r="N129"/>
  <c r="M36"/>
  <c r="M11" i="20"/>
  <c r="N21" i="5"/>
  <c r="J21"/>
  <c r="V35"/>
  <c r="D21"/>
  <c r="H21"/>
  <c r="L35"/>
  <c r="T129"/>
  <c r="N35"/>
  <c r="U36"/>
  <c r="U11" i="20"/>
  <c r="V21" i="5"/>
  <c r="F129"/>
  <c r="F21"/>
  <c r="R21"/>
  <c r="P129"/>
  <c r="AD82"/>
  <c r="M145"/>
  <c r="M12" i="20" s="1"/>
  <c r="S145" i="5"/>
  <c r="T145" s="1"/>
  <c r="L76"/>
  <c r="J76"/>
  <c r="F76"/>
  <c r="T35"/>
  <c r="Z76"/>
  <c r="X76"/>
  <c r="V76"/>
  <c r="N76"/>
  <c r="T76"/>
  <c r="AB42"/>
  <c r="P76"/>
  <c r="W145"/>
  <c r="X145" s="1"/>
  <c r="O145"/>
  <c r="O12" i="20" s="1"/>
  <c r="E145" i="5"/>
  <c r="E12" i="20" s="1"/>
  <c r="Z42" i="12"/>
  <c r="X42"/>
  <c r="V42"/>
  <c r="T42"/>
  <c r="AO76" i="5"/>
  <c r="R76"/>
  <c r="R76" i="12"/>
  <c r="R42"/>
  <c r="P42"/>
  <c r="N42"/>
  <c r="L42"/>
  <c r="J42"/>
  <c r="H42"/>
  <c r="AA76" i="5"/>
  <c r="AC42"/>
  <c r="AC76"/>
  <c r="AD76"/>
  <c r="AN42"/>
  <c r="D76"/>
  <c r="AM76"/>
  <c r="AK76"/>
  <c r="AF42" i="12"/>
  <c r="D42"/>
  <c r="Y145" i="5"/>
  <c r="U145"/>
  <c r="V145" s="1"/>
  <c r="J129"/>
  <c r="H129"/>
  <c r="C145"/>
  <c r="C12" i="20" s="1"/>
  <c r="R129" i="5"/>
  <c r="AO129"/>
  <c r="Z35"/>
  <c r="Q36"/>
  <c r="AO35"/>
  <c r="I145"/>
  <c r="I12" i="20" s="1"/>
  <c r="E36" i="5"/>
  <c r="E11" i="20"/>
  <c r="V129" i="5"/>
  <c r="AM129"/>
  <c r="AN21"/>
  <c r="AC27"/>
  <c r="AC35"/>
  <c r="AN27"/>
  <c r="D35"/>
  <c r="AM35"/>
  <c r="AN126"/>
  <c r="I36"/>
  <c r="I11" i="20"/>
  <c r="G145" i="5"/>
  <c r="G12" i="20" s="1"/>
  <c r="Z129" i="5"/>
  <c r="W36"/>
  <c r="R35"/>
  <c r="S36"/>
  <c r="D129"/>
  <c r="C36"/>
  <c r="C11" i="20"/>
  <c r="AK129" i="5"/>
  <c r="O36"/>
  <c r="O11" i="20"/>
  <c r="AK35" i="5"/>
  <c r="L129"/>
  <c r="AA35"/>
  <c r="AA36"/>
  <c r="AB27"/>
  <c r="H35"/>
  <c r="AC126"/>
  <c r="AD126"/>
  <c r="AA129"/>
  <c r="AB16"/>
  <c r="AD69"/>
  <c r="AD24"/>
  <c r="AD93"/>
  <c r="AD47"/>
  <c r="AD62"/>
  <c r="AD144"/>
  <c r="AD52"/>
  <c r="AD68"/>
  <c r="AD31"/>
  <c r="AD58"/>
  <c r="AC16"/>
  <c r="AD34"/>
  <c r="AD90"/>
  <c r="AD55"/>
  <c r="AD140"/>
  <c r="AD124"/>
  <c r="AD46"/>
  <c r="AD91"/>
  <c r="AD26"/>
  <c r="AD87"/>
  <c r="AD50"/>
  <c r="AD56"/>
  <c r="AD138"/>
  <c r="AD136"/>
  <c r="AD53"/>
  <c r="AD92"/>
  <c r="AD116"/>
  <c r="AD17"/>
  <c r="AD86"/>
  <c r="AD117"/>
  <c r="AD139"/>
  <c r="AD22"/>
  <c r="AD44"/>
  <c r="AD28"/>
  <c r="AD60"/>
  <c r="AD48"/>
  <c r="AD23"/>
  <c r="AD143"/>
  <c r="AD88"/>
  <c r="AD81"/>
  <c r="AD66"/>
  <c r="AD45"/>
  <c r="AD84"/>
  <c r="AD85"/>
  <c r="AD78"/>
  <c r="AD89"/>
  <c r="AD64"/>
  <c r="AD59"/>
  <c r="AD142"/>
  <c r="AD63"/>
  <c r="AD25"/>
  <c r="AD57"/>
  <c r="AH12"/>
  <c r="AD148"/>
  <c r="AD30"/>
  <c r="AD54"/>
  <c r="AD40"/>
  <c r="AD61"/>
  <c r="AD19"/>
  <c r="AD12"/>
  <c r="AD38"/>
  <c r="AD29"/>
  <c r="AD127"/>
  <c r="AD49"/>
  <c r="AD79"/>
  <c r="AD83"/>
  <c r="AD80"/>
  <c r="AD128"/>
  <c r="AD43"/>
  <c r="AD32"/>
  <c r="AD33"/>
  <c r="AD51"/>
  <c r="AD125"/>
  <c r="AD65"/>
  <c r="AD137"/>
  <c r="AD77"/>
  <c r="AD133"/>
  <c r="V36"/>
  <c r="U37"/>
  <c r="H36"/>
  <c r="G37"/>
  <c r="Y37"/>
  <c r="Z36"/>
  <c r="N36"/>
  <c r="M37"/>
  <c r="L36"/>
  <c r="K37"/>
  <c r="AD21"/>
  <c r="P145"/>
  <c r="S12" i="20"/>
  <c r="N145" i="5"/>
  <c r="W37"/>
  <c r="X37"/>
  <c r="W11" i="20"/>
  <c r="Z145" i="5"/>
  <c r="Y12" i="20"/>
  <c r="W12"/>
  <c r="U12"/>
  <c r="S37" i="5"/>
  <c r="S131"/>
  <c r="T131" s="1"/>
  <c r="S11" i="20"/>
  <c r="AO36" i="5"/>
  <c r="Q11" i="20"/>
  <c r="F145" i="5"/>
  <c r="D145"/>
  <c r="F36"/>
  <c r="AD42"/>
  <c r="Q37"/>
  <c r="AO37"/>
  <c r="AB76"/>
  <c r="AN76"/>
  <c r="E37"/>
  <c r="F37"/>
  <c r="R36"/>
  <c r="O37"/>
  <c r="O131"/>
  <c r="O135" s="1"/>
  <c r="P135" s="1"/>
  <c r="C37"/>
  <c r="C131"/>
  <c r="D131" s="1"/>
  <c r="J145"/>
  <c r="AD27"/>
  <c r="P36"/>
  <c r="AN35"/>
  <c r="I37"/>
  <c r="AM36"/>
  <c r="AN36"/>
  <c r="AB129"/>
  <c r="AN129"/>
  <c r="AA37"/>
  <c r="AB37"/>
  <c r="AP37"/>
  <c r="X36"/>
  <c r="J36"/>
  <c r="T36"/>
  <c r="D36"/>
  <c r="AK36"/>
  <c r="AB35"/>
  <c r="AC129"/>
  <c r="AD129"/>
  <c r="AD16"/>
  <c r="AB36"/>
  <c r="W131"/>
  <c r="X131" s="1"/>
  <c r="AD35"/>
  <c r="L37"/>
  <c r="Y131"/>
  <c r="Z131" s="1"/>
  <c r="Z37"/>
  <c r="G131"/>
  <c r="G135" s="1"/>
  <c r="H37"/>
  <c r="AC36"/>
  <c r="M131"/>
  <c r="N131" s="1"/>
  <c r="N37"/>
  <c r="U131"/>
  <c r="U135" s="1"/>
  <c r="V37"/>
  <c r="T37"/>
  <c r="AA11" i="20"/>
  <c r="R37" i="5"/>
  <c r="E131"/>
  <c r="F131" s="1"/>
  <c r="P37"/>
  <c r="D37"/>
  <c r="AM37"/>
  <c r="AN37"/>
  <c r="I131"/>
  <c r="I135" s="1"/>
  <c r="J37"/>
  <c r="AK37"/>
  <c r="W135"/>
  <c r="W146" s="1"/>
  <c r="AC37"/>
  <c r="AD36"/>
  <c r="V131"/>
  <c r="Y135"/>
  <c r="Y146" s="1"/>
  <c r="M135"/>
  <c r="N135" s="1"/>
  <c r="H131"/>
  <c r="S135"/>
  <c r="S146" s="1"/>
  <c r="J131"/>
  <c r="AD37"/>
  <c r="AG105" i="12"/>
  <c r="AG104"/>
  <c r="AG107"/>
  <c r="AG101"/>
  <c r="AG102"/>
  <c r="AG103"/>
  <c r="AA143" i="1"/>
  <c r="AC143" i="12"/>
  <c r="AA142" i="1"/>
  <c r="AC142" i="12"/>
  <c r="AA140" i="1"/>
  <c r="AC140" i="12"/>
  <c r="AA139" i="1"/>
  <c r="AA138"/>
  <c r="AA137"/>
  <c r="AA136"/>
  <c r="AC136" i="12"/>
  <c r="AA133" i="1"/>
  <c r="AC133" i="12"/>
  <c r="AA128" i="1"/>
  <c r="AA128" i="12"/>
  <c r="AA127" i="1"/>
  <c r="AA127" i="12"/>
  <c r="AA125" i="1"/>
  <c r="AC125" i="12"/>
  <c r="AA124" i="1"/>
  <c r="AC124" i="12"/>
  <c r="AA123" i="1"/>
  <c r="AC123" i="12"/>
  <c r="AA122" i="1"/>
  <c r="AA121"/>
  <c r="AA120"/>
  <c r="AA119"/>
  <c r="AA116"/>
  <c r="AC116" i="12"/>
  <c r="Y93" i="1"/>
  <c r="Y93" i="12" s="1"/>
  <c r="Z93" s="1"/>
  <c r="W93" i="1"/>
  <c r="W93" i="12" s="1"/>
  <c r="X93" s="1"/>
  <c r="U93" i="1"/>
  <c r="U93" i="12" s="1"/>
  <c r="V93" s="1"/>
  <c r="S93" i="1"/>
  <c r="S93" i="12" s="1"/>
  <c r="T93" s="1"/>
  <c r="Q93" i="1"/>
  <c r="Q93" i="12" s="1"/>
  <c r="R93" s="1"/>
  <c r="O93" i="1"/>
  <c r="O93" i="12" s="1"/>
  <c r="P93" s="1"/>
  <c r="M93" i="1"/>
  <c r="M93" i="12" s="1"/>
  <c r="N93" s="1"/>
  <c r="K93" i="1"/>
  <c r="K93" i="12" s="1"/>
  <c r="L93" s="1"/>
  <c r="I93" i="1"/>
  <c r="I93" i="12" s="1"/>
  <c r="J93" s="1"/>
  <c r="G93" i="1"/>
  <c r="G93" i="12" s="1"/>
  <c r="H93" s="1"/>
  <c r="E93" i="1"/>
  <c r="E93" i="12" s="1"/>
  <c r="F93" s="1"/>
  <c r="C93" i="1"/>
  <c r="C93" i="12" s="1"/>
  <c r="AA92" i="1"/>
  <c r="AA91"/>
  <c r="AA90"/>
  <c r="AA90" i="12" s="1"/>
  <c r="AA89" i="1"/>
  <c r="AA81"/>
  <c r="AA80"/>
  <c r="AI79" i="12"/>
  <c r="AI78"/>
  <c r="AI77"/>
  <c r="AA69" i="1"/>
  <c r="AA67"/>
  <c r="AA64"/>
  <c r="AC64" i="12"/>
  <c r="AA63" i="1"/>
  <c r="AC63" i="12"/>
  <c r="AA62" i="1"/>
  <c r="AA61"/>
  <c r="AC61" i="12"/>
  <c r="AA60" i="1"/>
  <c r="AC60" i="12"/>
  <c r="AA59" i="1"/>
  <c r="AA59" i="12"/>
  <c r="AA58" i="1"/>
  <c r="AC58" i="12"/>
  <c r="AA56" i="1"/>
  <c r="AA56" i="12"/>
  <c r="AA55" i="1"/>
  <c r="AA54"/>
  <c r="AC54" i="12"/>
  <c r="AA53" i="1"/>
  <c r="AA52"/>
  <c r="AA51"/>
  <c r="AA50"/>
  <c r="AA49"/>
  <c r="AA49" i="12"/>
  <c r="AA48" i="1"/>
  <c r="AA48" i="12"/>
  <c r="AA47" i="1"/>
  <c r="AA45"/>
  <c r="AA44"/>
  <c r="AA43"/>
  <c r="AA42"/>
  <c r="U41"/>
  <c r="S41"/>
  <c r="Q41"/>
  <c r="O41"/>
  <c r="M41"/>
  <c r="I41"/>
  <c r="G41"/>
  <c r="E41"/>
  <c r="C41"/>
  <c r="AA40"/>
  <c r="AA38"/>
  <c r="AA34"/>
  <c r="AA33"/>
  <c r="AA32"/>
  <c r="AA31"/>
  <c r="AA30"/>
  <c r="AA29"/>
  <c r="AA28"/>
  <c r="AA26"/>
  <c r="AA25"/>
  <c r="AA25" i="12" s="1"/>
  <c r="AA24" i="1"/>
  <c r="AA23"/>
  <c r="AA20"/>
  <c r="AA19"/>
  <c r="AA18"/>
  <c r="Y15"/>
  <c r="W15"/>
  <c r="U15"/>
  <c r="S15"/>
  <c r="Q15"/>
  <c r="AI15"/>
  <c r="O15"/>
  <c r="M15"/>
  <c r="K15"/>
  <c r="I15"/>
  <c r="G15"/>
  <c r="E15"/>
  <c r="C15"/>
  <c r="AA14"/>
  <c r="AA13"/>
  <c r="AA9"/>
  <c r="AA9" i="12"/>
  <c r="AA8" i="1"/>
  <c r="AA7"/>
  <c r="AA6"/>
  <c r="M7" i="20"/>
  <c r="M51" s="1"/>
  <c r="K7"/>
  <c r="I7"/>
  <c r="G7"/>
  <c r="E7"/>
  <c r="C7"/>
  <c r="W7"/>
  <c r="AC81" i="12"/>
  <c r="AC92"/>
  <c r="Y7" i="20"/>
  <c r="AC80" i="12"/>
  <c r="U7" i="20"/>
  <c r="AC69" i="12"/>
  <c r="AC67"/>
  <c r="AC50"/>
  <c r="AC49"/>
  <c r="AC121"/>
  <c r="S7" i="20"/>
  <c r="AC48" i="12"/>
  <c r="AC47"/>
  <c r="Q7" i="20"/>
  <c r="AC128" i="12"/>
  <c r="AC127"/>
  <c r="AC122"/>
  <c r="AC120"/>
  <c r="AC119"/>
  <c r="AC91"/>
  <c r="AC89"/>
  <c r="O7" i="20"/>
  <c r="AC68" i="12"/>
  <c r="AC62"/>
  <c r="AC59"/>
  <c r="AC56"/>
  <c r="AC55"/>
  <c r="AC53"/>
  <c r="AC51"/>
  <c r="AC45"/>
  <c r="AC44"/>
  <c r="AC43"/>
  <c r="AC30"/>
  <c r="AC34"/>
  <c r="AI93" i="1"/>
  <c r="AC24" i="12"/>
  <c r="AC29"/>
  <c r="AC33"/>
  <c r="AC14"/>
  <c r="AC23"/>
  <c r="AC28"/>
  <c r="AC32"/>
  <c r="AC40"/>
  <c r="AC20"/>
  <c r="AC26"/>
  <c r="AC31"/>
  <c r="AC139"/>
  <c r="AC138"/>
  <c r="AC137"/>
  <c r="AC52"/>
  <c r="AA76" i="1"/>
  <c r="AA76" i="12"/>
  <c r="AC18"/>
  <c r="AC42"/>
  <c r="AC19"/>
  <c r="AC13"/>
  <c r="AC38"/>
  <c r="AI47"/>
  <c r="AI49"/>
  <c r="AI61"/>
  <c r="AI80"/>
  <c r="AI84"/>
  <c r="AI86"/>
  <c r="AI90"/>
  <c r="AI133"/>
  <c r="AI48"/>
  <c r="AI50"/>
  <c r="AI58"/>
  <c r="AI67"/>
  <c r="AI83"/>
  <c r="AI85"/>
  <c r="AI87"/>
  <c r="AA144" i="1"/>
  <c r="F11" i="12"/>
  <c r="Z76"/>
  <c r="N76"/>
  <c r="L76"/>
  <c r="V76"/>
  <c r="H76"/>
  <c r="P76"/>
  <c r="X76"/>
  <c r="J76"/>
  <c r="T76"/>
  <c r="AF115"/>
  <c r="AI92"/>
  <c r="AA93" i="1"/>
  <c r="AA93" i="12" s="1"/>
  <c r="AC9"/>
  <c r="AB9"/>
  <c r="AI5"/>
  <c r="AI9"/>
  <c r="AI18"/>
  <c r="AI24"/>
  <c r="AI29"/>
  <c r="AI33"/>
  <c r="AI45"/>
  <c r="AI53"/>
  <c r="AI57"/>
  <c r="AI65"/>
  <c r="AI69"/>
  <c r="AI81"/>
  <c r="AI89"/>
  <c r="AI94"/>
  <c r="AI98"/>
  <c r="AI120"/>
  <c r="AI124"/>
  <c r="AI139"/>
  <c r="AI8"/>
  <c r="AI14"/>
  <c r="AI23"/>
  <c r="AI28"/>
  <c r="AI32"/>
  <c r="AI40"/>
  <c r="AI44"/>
  <c r="AI52"/>
  <c r="AI56"/>
  <c r="AI60"/>
  <c r="AI64"/>
  <c r="AI68"/>
  <c r="AI88"/>
  <c r="AI97"/>
  <c r="AI119"/>
  <c r="AI123"/>
  <c r="AI128"/>
  <c r="AI138"/>
  <c r="AI143"/>
  <c r="AI7"/>
  <c r="AI13"/>
  <c r="AI20"/>
  <c r="AI26"/>
  <c r="AI31"/>
  <c r="AI38"/>
  <c r="AI43"/>
  <c r="AI51"/>
  <c r="AI55"/>
  <c r="AI59"/>
  <c r="AI63"/>
  <c r="AI91"/>
  <c r="AI96"/>
  <c r="AI116"/>
  <c r="AI122"/>
  <c r="AI127"/>
  <c r="AI137"/>
  <c r="AI142"/>
  <c r="AI6"/>
  <c r="AI19"/>
  <c r="AI25"/>
  <c r="AI30"/>
  <c r="AI34"/>
  <c r="AI42"/>
  <c r="AI46"/>
  <c r="AI54"/>
  <c r="AI62"/>
  <c r="AI66"/>
  <c r="AI82"/>
  <c r="AI95"/>
  <c r="AI99"/>
  <c r="AI121"/>
  <c r="AI125"/>
  <c r="AI136"/>
  <c r="AI140"/>
  <c r="AF11"/>
  <c r="AG13"/>
  <c r="AG20"/>
  <c r="AG42"/>
  <c r="AG46"/>
  <c r="AG81"/>
  <c r="AG94"/>
  <c r="AG88"/>
  <c r="AG138"/>
  <c r="AG143"/>
  <c r="E12" i="1"/>
  <c r="F11"/>
  <c r="AG24" i="12"/>
  <c r="AG40"/>
  <c r="AG52"/>
  <c r="AG60"/>
  <c r="AG64"/>
  <c r="AG96"/>
  <c r="AG14"/>
  <c r="AG23"/>
  <c r="AG28"/>
  <c r="AG38"/>
  <c r="AG63"/>
  <c r="AG95"/>
  <c r="AG99"/>
  <c r="AG136"/>
  <c r="AG140"/>
  <c r="AB8" i="1"/>
  <c r="AB7"/>
  <c r="AB10"/>
  <c r="AG9" i="12"/>
  <c r="AB9" i="1"/>
  <c r="AG142" i="12"/>
  <c r="AG98"/>
  <c r="AG120"/>
  <c r="AG68"/>
  <c r="AG54"/>
  <c r="AG119"/>
  <c r="AG116"/>
  <c r="AG97"/>
  <c r="AG91"/>
  <c r="AG82"/>
  <c r="AG59"/>
  <c r="AG53"/>
  <c r="AG44"/>
  <c r="AG43"/>
  <c r="AA11" i="1"/>
  <c r="AC26"/>
  <c r="AC6"/>
  <c r="AC69"/>
  <c r="AC125"/>
  <c r="AC18"/>
  <c r="AC124"/>
  <c r="AC30"/>
  <c r="AC31"/>
  <c r="AC32"/>
  <c r="AC33"/>
  <c r="AC34"/>
  <c r="AC123"/>
  <c r="AC137"/>
  <c r="AC139"/>
  <c r="AC29"/>
  <c r="AC128"/>
  <c r="AC122"/>
  <c r="AC121"/>
  <c r="AC19"/>
  <c r="AC8"/>
  <c r="AC142"/>
  <c r="AC5"/>
  <c r="AC7"/>
  <c r="Z142"/>
  <c r="X142"/>
  <c r="V142"/>
  <c r="T142"/>
  <c r="R142"/>
  <c r="P142"/>
  <c r="N142"/>
  <c r="L142"/>
  <c r="J142"/>
  <c r="H142"/>
  <c r="AC44"/>
  <c r="AC48"/>
  <c r="AC62"/>
  <c r="AC64"/>
  <c r="AC66"/>
  <c r="AC45"/>
  <c r="AC47"/>
  <c r="AC49"/>
  <c r="AC53"/>
  <c r="AC55"/>
  <c r="AC57"/>
  <c r="N128"/>
  <c r="N121"/>
  <c r="N119"/>
  <c r="N116"/>
  <c r="N127"/>
  <c r="N122"/>
  <c r="N120"/>
  <c r="N125"/>
  <c r="N117"/>
  <c r="V128"/>
  <c r="V116"/>
  <c r="V122"/>
  <c r="V120"/>
  <c r="V127"/>
  <c r="V125"/>
  <c r="V117"/>
  <c r="V121"/>
  <c r="V119"/>
  <c r="AC20"/>
  <c r="AC38"/>
  <c r="AC42"/>
  <c r="D51"/>
  <c r="L116"/>
  <c r="L127"/>
  <c r="L122"/>
  <c r="L120"/>
  <c r="L125"/>
  <c r="L117"/>
  <c r="L128"/>
  <c r="L121"/>
  <c r="L119"/>
  <c r="T127"/>
  <c r="T125"/>
  <c r="T117"/>
  <c r="T121"/>
  <c r="T119"/>
  <c r="T128"/>
  <c r="T116"/>
  <c r="T122"/>
  <c r="T120"/>
  <c r="J30"/>
  <c r="J127"/>
  <c r="J125"/>
  <c r="J117"/>
  <c r="J121"/>
  <c r="J119"/>
  <c r="J128"/>
  <c r="J116"/>
  <c r="J122"/>
  <c r="J120"/>
  <c r="R116"/>
  <c r="R122"/>
  <c r="R120"/>
  <c r="R127"/>
  <c r="R125"/>
  <c r="R117"/>
  <c r="R121"/>
  <c r="R119"/>
  <c r="Z116"/>
  <c r="Z127"/>
  <c r="Z122"/>
  <c r="Z120"/>
  <c r="Z125"/>
  <c r="Z117"/>
  <c r="Z128"/>
  <c r="Z121"/>
  <c r="Z119"/>
  <c r="H128"/>
  <c r="H116"/>
  <c r="H122"/>
  <c r="H120"/>
  <c r="H127"/>
  <c r="H125"/>
  <c r="H117"/>
  <c r="H121"/>
  <c r="H119"/>
  <c r="O16"/>
  <c r="O16" i="12"/>
  <c r="P127" i="1"/>
  <c r="P125"/>
  <c r="P117"/>
  <c r="P121"/>
  <c r="P119"/>
  <c r="P128"/>
  <c r="P116"/>
  <c r="P122"/>
  <c r="P120"/>
  <c r="X127"/>
  <c r="X125"/>
  <c r="X117"/>
  <c r="X121"/>
  <c r="X119"/>
  <c r="X128"/>
  <c r="X116"/>
  <c r="X122"/>
  <c r="X120"/>
  <c r="AC14"/>
  <c r="AC119"/>
  <c r="AC52"/>
  <c r="AC61"/>
  <c r="AC68"/>
  <c r="AC46"/>
  <c r="AC59"/>
  <c r="AC63"/>
  <c r="AC51"/>
  <c r="AC50"/>
  <c r="AC54"/>
  <c r="AC58"/>
  <c r="AC60"/>
  <c r="AC65"/>
  <c r="AC56"/>
  <c r="AC43"/>
  <c r="AC23"/>
  <c r="AC13"/>
  <c r="W16"/>
  <c r="W16" i="12"/>
  <c r="X12" i="1"/>
  <c r="Z29"/>
  <c r="Z30"/>
  <c r="Z19"/>
  <c r="Z24"/>
  <c r="Z26"/>
  <c r="Z32"/>
  <c r="Z12"/>
  <c r="Y16"/>
  <c r="Y16" i="12"/>
  <c r="Z23" i="1"/>
  <c r="Z34"/>
  <c r="V77"/>
  <c r="T80"/>
  <c r="T90"/>
  <c r="R23"/>
  <c r="R30"/>
  <c r="R32"/>
  <c r="R34"/>
  <c r="R26"/>
  <c r="R12"/>
  <c r="Q16"/>
  <c r="Q16" i="12"/>
  <c r="R22" i="1"/>
  <c r="R24"/>
  <c r="R28"/>
  <c r="P12"/>
  <c r="P42"/>
  <c r="N64"/>
  <c r="L43"/>
  <c r="J24"/>
  <c r="J12"/>
  <c r="I16"/>
  <c r="I16" i="12"/>
  <c r="J28" i="1"/>
  <c r="J32"/>
  <c r="J22"/>
  <c r="J26"/>
  <c r="J19"/>
  <c r="J23"/>
  <c r="H12"/>
  <c r="G16"/>
  <c r="G16" i="12"/>
  <c r="AC86" i="1"/>
  <c r="AC88"/>
  <c r="AC81"/>
  <c r="AC82"/>
  <c r="AC83"/>
  <c r="AC85"/>
  <c r="AC120"/>
  <c r="AC92"/>
  <c r="AC90"/>
  <c r="AC77"/>
  <c r="AC79"/>
  <c r="H143"/>
  <c r="H140"/>
  <c r="H138"/>
  <c r="H136"/>
  <c r="H139"/>
  <c r="H137"/>
  <c r="H93"/>
  <c r="H91"/>
  <c r="H89"/>
  <c r="H86"/>
  <c r="H83"/>
  <c r="H80"/>
  <c r="H61"/>
  <c r="H82"/>
  <c r="H77"/>
  <c r="H64"/>
  <c r="H63"/>
  <c r="H60"/>
  <c r="H58"/>
  <c r="H56"/>
  <c r="H54"/>
  <c r="H52"/>
  <c r="H49"/>
  <c r="H47"/>
  <c r="H44"/>
  <c r="H90"/>
  <c r="H88"/>
  <c r="H85"/>
  <c r="H81"/>
  <c r="H79"/>
  <c r="X143"/>
  <c r="X138"/>
  <c r="X140"/>
  <c r="X136"/>
  <c r="X139"/>
  <c r="X137"/>
  <c r="X93"/>
  <c r="X91"/>
  <c r="X89"/>
  <c r="X81"/>
  <c r="X64"/>
  <c r="X63"/>
  <c r="X87"/>
  <c r="X84"/>
  <c r="X80"/>
  <c r="X78"/>
  <c r="X77"/>
  <c r="X58"/>
  <c r="X54"/>
  <c r="X52"/>
  <c r="X49"/>
  <c r="X47"/>
  <c r="X44"/>
  <c r="X90"/>
  <c r="X88"/>
  <c r="X86"/>
  <c r="X85"/>
  <c r="X83"/>
  <c r="X79"/>
  <c r="X61"/>
  <c r="X50"/>
  <c r="J144"/>
  <c r="J139"/>
  <c r="J137"/>
  <c r="J143"/>
  <c r="J140"/>
  <c r="J138"/>
  <c r="J136"/>
  <c r="J90"/>
  <c r="J88"/>
  <c r="J85"/>
  <c r="J81"/>
  <c r="J79"/>
  <c r="J87"/>
  <c r="J84"/>
  <c r="J78"/>
  <c r="J66"/>
  <c r="J62"/>
  <c r="J57"/>
  <c r="J51"/>
  <c r="J50"/>
  <c r="J48"/>
  <c r="J45"/>
  <c r="J91"/>
  <c r="J89"/>
  <c r="J86"/>
  <c r="J83"/>
  <c r="J80"/>
  <c r="J61"/>
  <c r="J39"/>
  <c r="R144"/>
  <c r="R139"/>
  <c r="R137"/>
  <c r="R140"/>
  <c r="R143"/>
  <c r="R138"/>
  <c r="R136"/>
  <c r="R90"/>
  <c r="R88"/>
  <c r="R85"/>
  <c r="R81"/>
  <c r="R79"/>
  <c r="R87"/>
  <c r="R84"/>
  <c r="R80"/>
  <c r="R78"/>
  <c r="R66"/>
  <c r="R62"/>
  <c r="R57"/>
  <c r="R51"/>
  <c r="R50"/>
  <c r="R48"/>
  <c r="R45"/>
  <c r="R43"/>
  <c r="R91"/>
  <c r="R89"/>
  <c r="R86"/>
  <c r="R83"/>
  <c r="R61"/>
  <c r="Z144"/>
  <c r="Z139"/>
  <c r="Z137"/>
  <c r="Z143"/>
  <c r="Z140"/>
  <c r="Z138"/>
  <c r="Z136"/>
  <c r="Z90"/>
  <c r="Z88"/>
  <c r="Z85"/>
  <c r="Z82"/>
  <c r="Z79"/>
  <c r="Z60"/>
  <c r="Z81"/>
  <c r="Z66"/>
  <c r="Z64"/>
  <c r="Z63"/>
  <c r="Z62"/>
  <c r="Z57"/>
  <c r="Z51"/>
  <c r="Z48"/>
  <c r="Z45"/>
  <c r="Z43"/>
  <c r="Z91"/>
  <c r="Z89"/>
  <c r="Z87"/>
  <c r="Z84"/>
  <c r="Z80"/>
  <c r="Z78"/>
  <c r="AC84"/>
  <c r="AC89"/>
  <c r="L12"/>
  <c r="AA15"/>
  <c r="AI15" i="12"/>
  <c r="N19" i="1"/>
  <c r="X22"/>
  <c r="N12"/>
  <c r="V12"/>
  <c r="M16"/>
  <c r="M16" i="12"/>
  <c r="U16" i="1"/>
  <c r="U16" i="12"/>
  <c r="D22" i="1"/>
  <c r="H22"/>
  <c r="L22"/>
  <c r="P22"/>
  <c r="T22"/>
  <c r="Z22"/>
  <c r="D23"/>
  <c r="H23"/>
  <c r="L23"/>
  <c r="P23"/>
  <c r="T23"/>
  <c r="V24"/>
  <c r="J25"/>
  <c r="N25"/>
  <c r="R25"/>
  <c r="V25"/>
  <c r="Z25"/>
  <c r="AC25"/>
  <c r="D26"/>
  <c r="H26"/>
  <c r="L26"/>
  <c r="P26"/>
  <c r="T26"/>
  <c r="Z28"/>
  <c r="AC28"/>
  <c r="D29"/>
  <c r="H29"/>
  <c r="L29"/>
  <c r="P29"/>
  <c r="T29"/>
  <c r="D39"/>
  <c r="H39"/>
  <c r="R39"/>
  <c r="D40"/>
  <c r="H40"/>
  <c r="L40"/>
  <c r="T40"/>
  <c r="X40"/>
  <c r="J42"/>
  <c r="N42"/>
  <c r="R42"/>
  <c r="V42"/>
  <c r="Z42"/>
  <c r="N44"/>
  <c r="L45"/>
  <c r="N47"/>
  <c r="L48"/>
  <c r="N49"/>
  <c r="L50"/>
  <c r="Z50"/>
  <c r="T51"/>
  <c r="R52"/>
  <c r="J54"/>
  <c r="Z54"/>
  <c r="L57"/>
  <c r="J58"/>
  <c r="Z58"/>
  <c r="R60"/>
  <c r="P62"/>
  <c r="N63"/>
  <c r="J64"/>
  <c r="P66"/>
  <c r="R77"/>
  <c r="L78"/>
  <c r="V81"/>
  <c r="R82"/>
  <c r="P84"/>
  <c r="L87"/>
  <c r="D144"/>
  <c r="D136"/>
  <c r="D121"/>
  <c r="D143"/>
  <c r="D140"/>
  <c r="D138"/>
  <c r="D125"/>
  <c r="D117"/>
  <c r="D120"/>
  <c r="D142"/>
  <c r="D139"/>
  <c r="D137"/>
  <c r="D128"/>
  <c r="D127"/>
  <c r="D122"/>
  <c r="D119"/>
  <c r="D116"/>
  <c r="D91"/>
  <c r="D89"/>
  <c r="D86"/>
  <c r="D83"/>
  <c r="D80"/>
  <c r="D61"/>
  <c r="D82"/>
  <c r="D77"/>
  <c r="D64"/>
  <c r="D63"/>
  <c r="D60"/>
  <c r="D58"/>
  <c r="D56"/>
  <c r="D52"/>
  <c r="D49"/>
  <c r="D47"/>
  <c r="D90"/>
  <c r="D88"/>
  <c r="D85"/>
  <c r="D81"/>
  <c r="D79"/>
  <c r="T144"/>
  <c r="T140"/>
  <c r="T136"/>
  <c r="T143"/>
  <c r="T138"/>
  <c r="T139"/>
  <c r="T137"/>
  <c r="T91"/>
  <c r="T89"/>
  <c r="T86"/>
  <c r="T83"/>
  <c r="T61"/>
  <c r="T82"/>
  <c r="T77"/>
  <c r="T64"/>
  <c r="T63"/>
  <c r="T60"/>
  <c r="T58"/>
  <c r="T54"/>
  <c r="T52"/>
  <c r="T49"/>
  <c r="T47"/>
  <c r="T44"/>
  <c r="T88"/>
  <c r="T85"/>
  <c r="T81"/>
  <c r="T79"/>
  <c r="AC78"/>
  <c r="AC87"/>
  <c r="D19"/>
  <c r="H19"/>
  <c r="L19"/>
  <c r="P19"/>
  <c r="T19"/>
  <c r="D24"/>
  <c r="H24"/>
  <c r="L24"/>
  <c r="P24"/>
  <c r="T24"/>
  <c r="N28"/>
  <c r="X28"/>
  <c r="X29"/>
  <c r="N30"/>
  <c r="V30"/>
  <c r="D31"/>
  <c r="H31"/>
  <c r="L31"/>
  <c r="P31"/>
  <c r="T31"/>
  <c r="X31"/>
  <c r="N32"/>
  <c r="V32"/>
  <c r="D33"/>
  <c r="H33"/>
  <c r="L33"/>
  <c r="P33"/>
  <c r="T33"/>
  <c r="X33"/>
  <c r="J34"/>
  <c r="N34"/>
  <c r="V34"/>
  <c r="D38"/>
  <c r="H38"/>
  <c r="L38"/>
  <c r="P38"/>
  <c r="T38"/>
  <c r="X38"/>
  <c r="N39"/>
  <c r="V41"/>
  <c r="D43"/>
  <c r="H43"/>
  <c r="P43"/>
  <c r="R44"/>
  <c r="P45"/>
  <c r="R47"/>
  <c r="P48"/>
  <c r="R49"/>
  <c r="P50"/>
  <c r="H51"/>
  <c r="X51"/>
  <c r="V52"/>
  <c r="N54"/>
  <c r="P57"/>
  <c r="N58"/>
  <c r="Z61"/>
  <c r="D62"/>
  <c r="T62"/>
  <c r="R63"/>
  <c r="D66"/>
  <c r="T66"/>
  <c r="P78"/>
  <c r="Z83"/>
  <c r="D84"/>
  <c r="T84"/>
  <c r="P87"/>
  <c r="L144"/>
  <c r="L136"/>
  <c r="L143"/>
  <c r="L140"/>
  <c r="L138"/>
  <c r="L139"/>
  <c r="L137"/>
  <c r="L91"/>
  <c r="L89"/>
  <c r="L86"/>
  <c r="L83"/>
  <c r="L80"/>
  <c r="L61"/>
  <c r="L82"/>
  <c r="L77"/>
  <c r="L64"/>
  <c r="L63"/>
  <c r="L60"/>
  <c r="L58"/>
  <c r="L56"/>
  <c r="L54"/>
  <c r="L52"/>
  <c r="L49"/>
  <c r="L47"/>
  <c r="L44"/>
  <c r="L90"/>
  <c r="L88"/>
  <c r="L85"/>
  <c r="L81"/>
  <c r="L79"/>
  <c r="N139"/>
  <c r="N137"/>
  <c r="N136"/>
  <c r="N143"/>
  <c r="N140"/>
  <c r="N138"/>
  <c r="N93"/>
  <c r="N90"/>
  <c r="N88"/>
  <c r="N85"/>
  <c r="N81"/>
  <c r="N79"/>
  <c r="N87"/>
  <c r="N84"/>
  <c r="N78"/>
  <c r="N66"/>
  <c r="N62"/>
  <c r="N57"/>
  <c r="N51"/>
  <c r="N50"/>
  <c r="N48"/>
  <c r="N45"/>
  <c r="N91"/>
  <c r="N89"/>
  <c r="N86"/>
  <c r="N83"/>
  <c r="N80"/>
  <c r="N61"/>
  <c r="V140"/>
  <c r="V139"/>
  <c r="V137"/>
  <c r="V136"/>
  <c r="V143"/>
  <c r="V138"/>
  <c r="V93"/>
  <c r="V90"/>
  <c r="V88"/>
  <c r="V87"/>
  <c r="V85"/>
  <c r="V84"/>
  <c r="V80"/>
  <c r="V79"/>
  <c r="V78"/>
  <c r="V50"/>
  <c r="V86"/>
  <c r="V83"/>
  <c r="V66"/>
  <c r="V62"/>
  <c r="V61"/>
  <c r="V57"/>
  <c r="V51"/>
  <c r="V48"/>
  <c r="V45"/>
  <c r="V43"/>
  <c r="V91"/>
  <c r="V89"/>
  <c r="V82"/>
  <c r="V60"/>
  <c r="P41"/>
  <c r="AC9"/>
  <c r="X19"/>
  <c r="N22"/>
  <c r="V22"/>
  <c r="N23"/>
  <c r="X23"/>
  <c r="AC24"/>
  <c r="D25"/>
  <c r="H25"/>
  <c r="L25"/>
  <c r="P25"/>
  <c r="T25"/>
  <c r="X25"/>
  <c r="N26"/>
  <c r="X26"/>
  <c r="V28"/>
  <c r="J29"/>
  <c r="N29"/>
  <c r="R29"/>
  <c r="V39"/>
  <c r="J40"/>
  <c r="N40"/>
  <c r="R40"/>
  <c r="Z40"/>
  <c r="D41"/>
  <c r="R41"/>
  <c r="H42"/>
  <c r="L42"/>
  <c r="T42"/>
  <c r="X42"/>
  <c r="T43"/>
  <c r="V44"/>
  <c r="D45"/>
  <c r="T45"/>
  <c r="V47"/>
  <c r="D48"/>
  <c r="T48"/>
  <c r="V49"/>
  <c r="D50"/>
  <c r="T50"/>
  <c r="L51"/>
  <c r="J52"/>
  <c r="Z52"/>
  <c r="R54"/>
  <c r="J56"/>
  <c r="D57"/>
  <c r="T57"/>
  <c r="R58"/>
  <c r="J60"/>
  <c r="X60"/>
  <c r="H62"/>
  <c r="X62"/>
  <c r="V63"/>
  <c r="R64"/>
  <c r="H66"/>
  <c r="X66"/>
  <c r="J77"/>
  <c r="Z77"/>
  <c r="D78"/>
  <c r="T78"/>
  <c r="J82"/>
  <c r="X82"/>
  <c r="H84"/>
  <c r="Z86"/>
  <c r="D87"/>
  <c r="T87"/>
  <c r="P143"/>
  <c r="P140"/>
  <c r="P138"/>
  <c r="P136"/>
  <c r="P139"/>
  <c r="P137"/>
  <c r="P93"/>
  <c r="P91"/>
  <c r="P89"/>
  <c r="P86"/>
  <c r="P83"/>
  <c r="P80"/>
  <c r="P61"/>
  <c r="P82"/>
  <c r="P77"/>
  <c r="P64"/>
  <c r="P63"/>
  <c r="P60"/>
  <c r="P58"/>
  <c r="P56"/>
  <c r="P54"/>
  <c r="P52"/>
  <c r="P49"/>
  <c r="P47"/>
  <c r="P44"/>
  <c r="P90"/>
  <c r="P88"/>
  <c r="P85"/>
  <c r="P81"/>
  <c r="P79"/>
  <c r="P39"/>
  <c r="H41"/>
  <c r="AC80"/>
  <c r="AC91"/>
  <c r="D12"/>
  <c r="T12"/>
  <c r="C16"/>
  <c r="C16" i="12"/>
  <c r="K16" i="1"/>
  <c r="K16" i="12"/>
  <c r="S16" i="1"/>
  <c r="S16" i="12"/>
  <c r="V19" i="1"/>
  <c r="AA22"/>
  <c r="V23"/>
  <c r="N24"/>
  <c r="X24"/>
  <c r="V26"/>
  <c r="D28"/>
  <c r="H28"/>
  <c r="L28"/>
  <c r="P28"/>
  <c r="T28"/>
  <c r="V29"/>
  <c r="D30"/>
  <c r="H30"/>
  <c r="L30"/>
  <c r="P30"/>
  <c r="T30"/>
  <c r="X30"/>
  <c r="J31"/>
  <c r="N31"/>
  <c r="R31"/>
  <c r="V31"/>
  <c r="Z31"/>
  <c r="D32"/>
  <c r="H32"/>
  <c r="L32"/>
  <c r="P32"/>
  <c r="T32"/>
  <c r="X32"/>
  <c r="J33"/>
  <c r="N33"/>
  <c r="R33"/>
  <c r="V33"/>
  <c r="Z33"/>
  <c r="D34"/>
  <c r="H34"/>
  <c r="L34"/>
  <c r="P34"/>
  <c r="T34"/>
  <c r="X34"/>
  <c r="J38"/>
  <c r="N38"/>
  <c r="R38"/>
  <c r="V38"/>
  <c r="Z38"/>
  <c r="T39"/>
  <c r="AC40"/>
  <c r="J41"/>
  <c r="N41"/>
  <c r="T41"/>
  <c r="J43"/>
  <c r="N43"/>
  <c r="X43"/>
  <c r="J44"/>
  <c r="Z44"/>
  <c r="H45"/>
  <c r="X45"/>
  <c r="J47"/>
  <c r="Z47"/>
  <c r="H48"/>
  <c r="X48"/>
  <c r="J49"/>
  <c r="Z49"/>
  <c r="H50"/>
  <c r="P51"/>
  <c r="N52"/>
  <c r="V54"/>
  <c r="N56"/>
  <c r="H57"/>
  <c r="X57"/>
  <c r="V58"/>
  <c r="N60"/>
  <c r="L62"/>
  <c r="J63"/>
  <c r="V64"/>
  <c r="L66"/>
  <c r="N77"/>
  <c r="H78"/>
  <c r="N82"/>
  <c r="L84"/>
  <c r="H87"/>
  <c r="AC67"/>
  <c r="J93"/>
  <c r="R93"/>
  <c r="Z93"/>
  <c r="D93"/>
  <c r="L93"/>
  <c r="T93"/>
  <c r="AC127"/>
  <c r="AC133"/>
  <c r="AC136"/>
  <c r="AC138"/>
  <c r="AC140"/>
  <c r="AC143"/>
  <c r="N144"/>
  <c r="V144"/>
  <c r="H144"/>
  <c r="P144"/>
  <c r="X144"/>
  <c r="AC116"/>
  <c r="F65"/>
  <c r="E12" i="12"/>
  <c r="F41"/>
  <c r="Y126" i="1"/>
  <c r="Y126" i="12"/>
  <c r="Z126"/>
  <c r="Y27" i="1"/>
  <c r="Y27" i="12"/>
  <c r="Y2" i="20"/>
  <c r="Y46"/>
  <c r="Z16" i="12"/>
  <c r="W27" i="1"/>
  <c r="W27" i="12"/>
  <c r="W126" i="1"/>
  <c r="W126" i="12"/>
  <c r="X16"/>
  <c r="W2" i="20"/>
  <c r="W46"/>
  <c r="U126" i="1"/>
  <c r="U126" i="12"/>
  <c r="U27" i="1"/>
  <c r="U27" i="12"/>
  <c r="U2" i="20"/>
  <c r="U46"/>
  <c r="V16" i="12"/>
  <c r="S126" i="1"/>
  <c r="S126" i="12"/>
  <c r="S27" i="1"/>
  <c r="S27" i="12"/>
  <c r="T16"/>
  <c r="Q126" i="1"/>
  <c r="Q126" i="12"/>
  <c r="Q27" i="1"/>
  <c r="Q27" i="12"/>
  <c r="O126" i="1"/>
  <c r="O126" i="12"/>
  <c r="O27" i="1"/>
  <c r="O27" i="12"/>
  <c r="P16"/>
  <c r="M126" i="1"/>
  <c r="M126" i="12"/>
  <c r="M27" i="1"/>
  <c r="M27" i="12"/>
  <c r="M2" i="20"/>
  <c r="M46"/>
  <c r="N16" i="12"/>
  <c r="K126" i="1"/>
  <c r="K126" i="12"/>
  <c r="K27" i="1"/>
  <c r="K27" i="12"/>
  <c r="K2" i="20"/>
  <c r="K46"/>
  <c r="L16" i="12"/>
  <c r="I126" i="1"/>
  <c r="I126" i="12"/>
  <c r="I27" i="1"/>
  <c r="I27" i="12"/>
  <c r="I2" i="20"/>
  <c r="I46"/>
  <c r="J16" i="12"/>
  <c r="G126" i="1"/>
  <c r="G126" i="12"/>
  <c r="G27" i="1"/>
  <c r="G27" i="12"/>
  <c r="G2" i="20"/>
  <c r="G46"/>
  <c r="H16" i="12"/>
  <c r="E17"/>
  <c r="C126" i="1"/>
  <c r="C27"/>
  <c r="C27" i="12"/>
  <c r="C2" i="20"/>
  <c r="C46"/>
  <c r="D16" i="12"/>
  <c r="S2" i="20"/>
  <c r="S46"/>
  <c r="Q2"/>
  <c r="Q46"/>
  <c r="R16" i="12"/>
  <c r="AA7" i="20"/>
  <c r="O2"/>
  <c r="AC15" i="12"/>
  <c r="X16" i="1"/>
  <c r="X126" i="12"/>
  <c r="AI16" i="1"/>
  <c r="F115"/>
  <c r="AC144" i="12"/>
  <c r="F68" i="1"/>
  <c r="AC76" i="12"/>
  <c r="AC76" i="1"/>
  <c r="AC8" i="12"/>
  <c r="F73" i="1"/>
  <c r="F71"/>
  <c r="F69"/>
  <c r="F76"/>
  <c r="F75"/>
  <c r="F72"/>
  <c r="F70"/>
  <c r="AC7" i="12"/>
  <c r="AI115"/>
  <c r="AI93"/>
  <c r="F42" i="1"/>
  <c r="F66"/>
  <c r="F46"/>
  <c r="AI22" i="12"/>
  <c r="AC22"/>
  <c r="AA12" i="1"/>
  <c r="AC11" i="12"/>
  <c r="F92" i="1"/>
  <c r="AI76" i="12"/>
  <c r="AB7"/>
  <c r="AB11"/>
  <c r="AB8"/>
  <c r="AB10"/>
  <c r="H16" i="1"/>
  <c r="AI144" i="12"/>
  <c r="AI117"/>
  <c r="AI11"/>
  <c r="AF12"/>
  <c r="E16" i="1"/>
  <c r="E16" i="12"/>
  <c r="F141" i="1"/>
  <c r="F63"/>
  <c r="F40"/>
  <c r="F60"/>
  <c r="F56"/>
  <c r="F48"/>
  <c r="F43"/>
  <c r="F62"/>
  <c r="F143"/>
  <c r="F12"/>
  <c r="F64"/>
  <c r="F22"/>
  <c r="F86"/>
  <c r="F88"/>
  <c r="F24"/>
  <c r="F87"/>
  <c r="F137"/>
  <c r="F32"/>
  <c r="AG33" i="12"/>
  <c r="AG31"/>
  <c r="AG125"/>
  <c r="AG15"/>
  <c r="AG29"/>
  <c r="AG137"/>
  <c r="AG34"/>
  <c r="AG32"/>
  <c r="AG30"/>
  <c r="AG18"/>
  <c r="AG69"/>
  <c r="AG26"/>
  <c r="AB11" i="1"/>
  <c r="AD7"/>
  <c r="AD10"/>
  <c r="AD9"/>
  <c r="AD8"/>
  <c r="AG6" i="12"/>
  <c r="AG8"/>
  <c r="AG7"/>
  <c r="AG122"/>
  <c r="AG121"/>
  <c r="AG11"/>
  <c r="AC11" i="1"/>
  <c r="Z16"/>
  <c r="P40"/>
  <c r="AC15"/>
  <c r="F38"/>
  <c r="F33"/>
  <c r="F44"/>
  <c r="F39"/>
  <c r="F29"/>
  <c r="F26"/>
  <c r="F83"/>
  <c r="F45"/>
  <c r="F57"/>
  <c r="F84"/>
  <c r="F85"/>
  <c r="F93"/>
  <c r="F140"/>
  <c r="F136"/>
  <c r="F52"/>
  <c r="F34"/>
  <c r="F19"/>
  <c r="F54"/>
  <c r="P16"/>
  <c r="F80"/>
  <c r="F91"/>
  <c r="F51"/>
  <c r="F78"/>
  <c r="F81"/>
  <c r="F138"/>
  <c r="F25"/>
  <c r="F31"/>
  <c r="F144"/>
  <c r="F58"/>
  <c r="F49"/>
  <c r="F47"/>
  <c r="F23"/>
  <c r="F61"/>
  <c r="F89"/>
  <c r="F50"/>
  <c r="F79"/>
  <c r="F90"/>
  <c r="F139"/>
  <c r="F77"/>
  <c r="F30"/>
  <c r="F28"/>
  <c r="R16"/>
  <c r="AC144"/>
  <c r="F142"/>
  <c r="F82"/>
  <c r="F41"/>
  <c r="J16"/>
  <c r="W21"/>
  <c r="W21" i="12" s="1"/>
  <c r="X21" s="1"/>
  <c r="K21" i="1"/>
  <c r="U21"/>
  <c r="G21"/>
  <c r="G21" i="12" s="1"/>
  <c r="H21" s="1"/>
  <c r="S21" i="1"/>
  <c r="S21" i="12" s="1"/>
  <c r="T21" s="1"/>
  <c r="C21" i="1"/>
  <c r="C21" i="12" s="1"/>
  <c r="M21" i="1"/>
  <c r="O21"/>
  <c r="O21" i="12" s="1"/>
  <c r="P21" s="1"/>
  <c r="Y21" i="1"/>
  <c r="Q21"/>
  <c r="F127"/>
  <c r="F122"/>
  <c r="F120"/>
  <c r="F125"/>
  <c r="F117"/>
  <c r="F128"/>
  <c r="F121"/>
  <c r="F119"/>
  <c r="F116"/>
  <c r="I21"/>
  <c r="C35"/>
  <c r="C35" i="12" s="1"/>
  <c r="T16" i="1"/>
  <c r="D16"/>
  <c r="V40"/>
  <c r="V16"/>
  <c r="AC93"/>
  <c r="AC117"/>
  <c r="L16"/>
  <c r="AC22"/>
  <c r="N16"/>
  <c r="K21" i="12"/>
  <c r="L21" s="1"/>
  <c r="AB118" i="1"/>
  <c r="AA12" i="12"/>
  <c r="AB61"/>
  <c r="AB117" i="1"/>
  <c r="C126" i="12"/>
  <c r="D126"/>
  <c r="F76"/>
  <c r="F13"/>
  <c r="F33"/>
  <c r="F26"/>
  <c r="F39"/>
  <c r="F42"/>
  <c r="F30"/>
  <c r="F20"/>
  <c r="F18"/>
  <c r="F23"/>
  <c r="F31"/>
  <c r="F14"/>
  <c r="F19"/>
  <c r="F15"/>
  <c r="F32"/>
  <c r="F38"/>
  <c r="F40"/>
  <c r="F22"/>
  <c r="F34"/>
  <c r="F29"/>
  <c r="F25"/>
  <c r="F24"/>
  <c r="F28"/>
  <c r="V126" i="1"/>
  <c r="V126" i="12"/>
  <c r="T126" i="1"/>
  <c r="T126" i="12"/>
  <c r="R126" i="1"/>
  <c r="R126" i="12"/>
  <c r="AI126" i="1"/>
  <c r="P126"/>
  <c r="P126" i="12"/>
  <c r="N126" i="1"/>
  <c r="N126" i="12"/>
  <c r="L126" i="1"/>
  <c r="L126" i="12"/>
  <c r="J126" i="1"/>
  <c r="J126" i="12"/>
  <c r="H126" i="1"/>
  <c r="H126" i="12"/>
  <c r="F118"/>
  <c r="F79"/>
  <c r="F46"/>
  <c r="F44"/>
  <c r="F88"/>
  <c r="F123"/>
  <c r="F140"/>
  <c r="F78"/>
  <c r="F97"/>
  <c r="F106"/>
  <c r="F84"/>
  <c r="F61"/>
  <c r="F122"/>
  <c r="F143"/>
  <c r="F50"/>
  <c r="F48"/>
  <c r="F63"/>
  <c r="F132"/>
  <c r="F75"/>
  <c r="F89"/>
  <c r="F108"/>
  <c r="F148"/>
  <c r="F151"/>
  <c r="F119"/>
  <c r="F115"/>
  <c r="F102"/>
  <c r="F83"/>
  <c r="F81"/>
  <c r="F87"/>
  <c r="F77"/>
  <c r="F100"/>
  <c r="F66"/>
  <c r="F60"/>
  <c r="F67"/>
  <c r="F136"/>
  <c r="F137"/>
  <c r="F82"/>
  <c r="F98"/>
  <c r="F125"/>
  <c r="F138"/>
  <c r="F62"/>
  <c r="F56"/>
  <c r="F99"/>
  <c r="F70"/>
  <c r="F74"/>
  <c r="F68"/>
  <c r="F133"/>
  <c r="F117"/>
  <c r="F114"/>
  <c r="F111"/>
  <c r="F104"/>
  <c r="F85"/>
  <c r="F54"/>
  <c r="F71"/>
  <c r="F96"/>
  <c r="F149"/>
  <c r="F45"/>
  <c r="F59"/>
  <c r="F134"/>
  <c r="F128"/>
  <c r="F57"/>
  <c r="F94"/>
  <c r="F150"/>
  <c r="F116"/>
  <c r="F58"/>
  <c r="F51"/>
  <c r="F95"/>
  <c r="F64"/>
  <c r="F69"/>
  <c r="F139"/>
  <c r="F120"/>
  <c r="F113"/>
  <c r="F110"/>
  <c r="F107"/>
  <c r="F103"/>
  <c r="F86"/>
  <c r="F49"/>
  <c r="F47"/>
  <c r="F92"/>
  <c r="F147"/>
  <c r="F80"/>
  <c r="F43"/>
  <c r="F121"/>
  <c r="F91"/>
  <c r="F52"/>
  <c r="F90"/>
  <c r="F124"/>
  <c r="F73"/>
  <c r="F55"/>
  <c r="F53"/>
  <c r="F65"/>
  <c r="F142"/>
  <c r="F130"/>
  <c r="F127"/>
  <c r="F112"/>
  <c r="F109"/>
  <c r="F105"/>
  <c r="F72"/>
  <c r="F141"/>
  <c r="F101"/>
  <c r="F144"/>
  <c r="E126" i="1"/>
  <c r="E27"/>
  <c r="E27" i="12"/>
  <c r="E2" i="20"/>
  <c r="E46"/>
  <c r="AI21" i="1"/>
  <c r="O46" i="20"/>
  <c r="AB98" i="12"/>
  <c r="AB47"/>
  <c r="F17" i="1"/>
  <c r="AI27"/>
  <c r="R27"/>
  <c r="D27" i="12"/>
  <c r="AB115" i="1"/>
  <c r="AA16"/>
  <c r="AA16" i="12"/>
  <c r="AB73" i="1"/>
  <c r="AB71"/>
  <c r="AB69"/>
  <c r="AB72"/>
  <c r="AB70"/>
  <c r="AB76"/>
  <c r="AB75"/>
  <c r="P27"/>
  <c r="O35"/>
  <c r="O35" i="12" s="1"/>
  <c r="P35" s="1"/>
  <c r="Y35" i="1"/>
  <c r="Y35" i="12" s="1"/>
  <c r="Z35" s="1"/>
  <c r="Z27" i="1"/>
  <c r="X126"/>
  <c r="U35"/>
  <c r="U35" i="12" s="1"/>
  <c r="V35" s="1"/>
  <c r="V27" i="1"/>
  <c r="V27" i="12"/>
  <c r="F17"/>
  <c r="C129" i="1"/>
  <c r="C129" i="12" s="1"/>
  <c r="AB68" i="1"/>
  <c r="AB67"/>
  <c r="AA17"/>
  <c r="AA17" i="12" s="1"/>
  <c r="F16"/>
  <c r="G35" i="1"/>
  <c r="G35" i="12" s="1"/>
  <c r="H35" s="1"/>
  <c r="Z27"/>
  <c r="X27"/>
  <c r="S35" i="1"/>
  <c r="S35" i="12" s="1"/>
  <c r="T35" s="1"/>
  <c r="P27"/>
  <c r="N27"/>
  <c r="L27"/>
  <c r="J27"/>
  <c r="H27"/>
  <c r="M129" i="1"/>
  <c r="M129" i="12" s="1"/>
  <c r="N129" s="1"/>
  <c r="J27" i="1"/>
  <c r="I129"/>
  <c r="I129" i="12" s="1"/>
  <c r="J129" s="1"/>
  <c r="U129" i="1"/>
  <c r="U129" i="12" s="1"/>
  <c r="V129" s="1"/>
  <c r="I35" i="1"/>
  <c r="I35" i="12" s="1"/>
  <c r="J35" s="1"/>
  <c r="G129" i="1"/>
  <c r="G129" i="12" s="1"/>
  <c r="H129" s="1"/>
  <c r="Y129" i="1"/>
  <c r="Y129" i="12" s="1"/>
  <c r="Z129" s="1"/>
  <c r="Z126" i="1"/>
  <c r="W35"/>
  <c r="W35" i="12" s="1"/>
  <c r="X35" s="1"/>
  <c r="W129" i="1"/>
  <c r="W129" i="12" s="1"/>
  <c r="X129" s="1"/>
  <c r="X27" i="1"/>
  <c r="S129"/>
  <c r="S129" i="12" s="1"/>
  <c r="T129" s="1"/>
  <c r="Q129" i="1"/>
  <c r="Q129" i="12" s="1"/>
  <c r="R129" s="1"/>
  <c r="Q35" i="1"/>
  <c r="Q35" i="12" s="1"/>
  <c r="R35" s="1"/>
  <c r="O129" i="1"/>
  <c r="O129" i="12" s="1"/>
  <c r="P129" s="1"/>
  <c r="N27" i="1"/>
  <c r="M35"/>
  <c r="M35" i="12" s="1"/>
  <c r="N35" s="1"/>
  <c r="K35" i="1"/>
  <c r="K35" i="12" s="1"/>
  <c r="L35" s="1"/>
  <c r="K129" i="1"/>
  <c r="K129" i="12" s="1"/>
  <c r="L129" s="1"/>
  <c r="L27" i="1"/>
  <c r="F16"/>
  <c r="D27"/>
  <c r="T27"/>
  <c r="D126"/>
  <c r="H27"/>
  <c r="AF17" i="12"/>
  <c r="AF16"/>
  <c r="AB143" i="1"/>
  <c r="AI12" i="12"/>
  <c r="AB47" i="1"/>
  <c r="AB144"/>
  <c r="AB23"/>
  <c r="AB116"/>
  <c r="AB46"/>
  <c r="AB61"/>
  <c r="AB138"/>
  <c r="AB38"/>
  <c r="AB34"/>
  <c r="AB139"/>
  <c r="AB54"/>
  <c r="AB55"/>
  <c r="AB42"/>
  <c r="AB141"/>
  <c r="AB86"/>
  <c r="AB24"/>
  <c r="AB28"/>
  <c r="AB64"/>
  <c r="AB84"/>
  <c r="AB22"/>
  <c r="AB82"/>
  <c r="AB85"/>
  <c r="AB26"/>
  <c r="AB79"/>
  <c r="AB81"/>
  <c r="AB125"/>
  <c r="AB142"/>
  <c r="AB33"/>
  <c r="AB93"/>
  <c r="AB48"/>
  <c r="AB56"/>
  <c r="AB66"/>
  <c r="AB49"/>
  <c r="AB57"/>
  <c r="AB63"/>
  <c r="AB120"/>
  <c r="AB80"/>
  <c r="AB140"/>
  <c r="AB133"/>
  <c r="AB25"/>
  <c r="AB19"/>
  <c r="AB32"/>
  <c r="AB12"/>
  <c r="AB122"/>
  <c r="AB137"/>
  <c r="AB40"/>
  <c r="AB87"/>
  <c r="AB44"/>
  <c r="AB52"/>
  <c r="AB62"/>
  <c r="AB45"/>
  <c r="AB53"/>
  <c r="AB60"/>
  <c r="AB121"/>
  <c r="AB83"/>
  <c r="AB127"/>
  <c r="AB29"/>
  <c r="AB31"/>
  <c r="AB92"/>
  <c r="AB90"/>
  <c r="AB30"/>
  <c r="AB88"/>
  <c r="AB119"/>
  <c r="AB128"/>
  <c r="AB89"/>
  <c r="AB78"/>
  <c r="AB50"/>
  <c r="AB58"/>
  <c r="AB43"/>
  <c r="AB51"/>
  <c r="AB59"/>
  <c r="AB65"/>
  <c r="AB91"/>
  <c r="AB77"/>
  <c r="AB136"/>
  <c r="AD11"/>
  <c r="AC12"/>
  <c r="AG126" i="12"/>
  <c r="N21" i="1"/>
  <c r="L21"/>
  <c r="X21"/>
  <c r="E21"/>
  <c r="R21"/>
  <c r="T21"/>
  <c r="H21"/>
  <c r="J21"/>
  <c r="P21"/>
  <c r="V21"/>
  <c r="D35"/>
  <c r="Z21"/>
  <c r="C36"/>
  <c r="D21"/>
  <c r="AB79" i="12"/>
  <c r="AB149"/>
  <c r="AB140"/>
  <c r="AB95"/>
  <c r="AB104"/>
  <c r="AB92"/>
  <c r="AB64"/>
  <c r="AB134"/>
  <c r="AB67"/>
  <c r="AB56"/>
  <c r="AB100"/>
  <c r="AB111"/>
  <c r="AB51"/>
  <c r="AB122"/>
  <c r="AB58"/>
  <c r="AB86"/>
  <c r="AB91"/>
  <c r="AJ12"/>
  <c r="AB82"/>
  <c r="AB66"/>
  <c r="AB101"/>
  <c r="AB45"/>
  <c r="AB115"/>
  <c r="AB55"/>
  <c r="AB130"/>
  <c r="AB114"/>
  <c r="AB133"/>
  <c r="AB87"/>
  <c r="AB103"/>
  <c r="AB49"/>
  <c r="AB150"/>
  <c r="AB102"/>
  <c r="AB57"/>
  <c r="AB123"/>
  <c r="AB99"/>
  <c r="AB60"/>
  <c r="AB59"/>
  <c r="AB96"/>
  <c r="AB78"/>
  <c r="AB81"/>
  <c r="AB151"/>
  <c r="AB137"/>
  <c r="AB119"/>
  <c r="AB89"/>
  <c r="AB105"/>
  <c r="AB71"/>
  <c r="AB72"/>
  <c r="AB124"/>
  <c r="AB74"/>
  <c r="AB108"/>
  <c r="AB63"/>
  <c r="AB65"/>
  <c r="AB53"/>
  <c r="AB68"/>
  <c r="AB69"/>
  <c r="AB107"/>
  <c r="AB138"/>
  <c r="AB54"/>
  <c r="AB50"/>
  <c r="AB43"/>
  <c r="AB120"/>
  <c r="AB109"/>
  <c r="AB106"/>
  <c r="AB139"/>
  <c r="AB80"/>
  <c r="AB62"/>
  <c r="AB46"/>
  <c r="AB142"/>
  <c r="AB112"/>
  <c r="AB73"/>
  <c r="AB147"/>
  <c r="AB75"/>
  <c r="AB148"/>
  <c r="AB132"/>
  <c r="AB121"/>
  <c r="AB113"/>
  <c r="AB128"/>
  <c r="AB70"/>
  <c r="AB136"/>
  <c r="AB116"/>
  <c r="AB97"/>
  <c r="AB127"/>
  <c r="AB125"/>
  <c r="AB48"/>
  <c r="AB44"/>
  <c r="AB141"/>
  <c r="AB94"/>
  <c r="AB52"/>
  <c r="AB143"/>
  <c r="AB77"/>
  <c r="AB84"/>
  <c r="AB85"/>
  <c r="AB83"/>
  <c r="AB110"/>
  <c r="AB144"/>
  <c r="AA2" i="20"/>
  <c r="AA46"/>
  <c r="E126" i="12"/>
  <c r="F126"/>
  <c r="AD118" i="1"/>
  <c r="AD117"/>
  <c r="U36"/>
  <c r="N35"/>
  <c r="K36"/>
  <c r="I36"/>
  <c r="G36"/>
  <c r="H36" s="1"/>
  <c r="Y36"/>
  <c r="X35"/>
  <c r="C3" i="20"/>
  <c r="C47" s="1"/>
  <c r="S36" i="1"/>
  <c r="P35"/>
  <c r="AB16"/>
  <c r="AB16" i="12"/>
  <c r="N129" i="1"/>
  <c r="R27" i="12"/>
  <c r="AA27" i="1"/>
  <c r="AA27" i="12"/>
  <c r="AD115" i="1"/>
  <c r="C145"/>
  <c r="C145" i="12" s="1"/>
  <c r="AD76" i="1"/>
  <c r="AD73"/>
  <c r="AD71"/>
  <c r="AD69"/>
  <c r="AD75"/>
  <c r="AD70"/>
  <c r="AD72"/>
  <c r="Q36"/>
  <c r="V35"/>
  <c r="O36"/>
  <c r="Z35"/>
  <c r="V53"/>
  <c r="AB24" i="12"/>
  <c r="AB29"/>
  <c r="AB26"/>
  <c r="AB17" i="1"/>
  <c r="AB18" i="12"/>
  <c r="AB40"/>
  <c r="AI17"/>
  <c r="AA21" i="1"/>
  <c r="AA21" i="12" s="1"/>
  <c r="AC17" i="1"/>
  <c r="AC21" s="1"/>
  <c r="AB31" i="12"/>
  <c r="F27"/>
  <c r="D53" i="1"/>
  <c r="D129"/>
  <c r="AB28" i="12"/>
  <c r="AB14"/>
  <c r="AB34"/>
  <c r="AB20"/>
  <c r="AB30"/>
  <c r="AB15"/>
  <c r="AB19"/>
  <c r="AB33"/>
  <c r="AB23"/>
  <c r="AB32"/>
  <c r="AD68" i="1"/>
  <c r="AD67"/>
  <c r="F126"/>
  <c r="AB13" i="12"/>
  <c r="AB22"/>
  <c r="AB38"/>
  <c r="AB42"/>
  <c r="AB76"/>
  <c r="W36" i="1"/>
  <c r="H35"/>
  <c r="Z53"/>
  <c r="X53"/>
  <c r="T27" i="12"/>
  <c r="T35" i="1"/>
  <c r="T53"/>
  <c r="R53"/>
  <c r="P53"/>
  <c r="N53"/>
  <c r="M145"/>
  <c r="M145" i="12" s="1"/>
  <c r="N145" s="1"/>
  <c r="L53" i="1"/>
  <c r="J53"/>
  <c r="AD141"/>
  <c r="H53"/>
  <c r="F27"/>
  <c r="E35"/>
  <c r="E35" i="12" s="1"/>
  <c r="F35" s="1"/>
  <c r="R35" i="1"/>
  <c r="Q145"/>
  <c r="R145" s="1"/>
  <c r="M36"/>
  <c r="I145"/>
  <c r="J129"/>
  <c r="U145"/>
  <c r="V129"/>
  <c r="J35"/>
  <c r="G145"/>
  <c r="H129"/>
  <c r="E129"/>
  <c r="E129" i="12" s="1"/>
  <c r="F129" s="1"/>
  <c r="Z129" i="1"/>
  <c r="X129"/>
  <c r="S145"/>
  <c r="T129"/>
  <c r="R129"/>
  <c r="P129"/>
  <c r="O145"/>
  <c r="O145" i="12" s="1"/>
  <c r="P145" s="1"/>
  <c r="L129" i="1"/>
  <c r="L35"/>
  <c r="AA126"/>
  <c r="AA126" i="12"/>
  <c r="AF27"/>
  <c r="AI16"/>
  <c r="AD116" i="1"/>
  <c r="AD48"/>
  <c r="AD45"/>
  <c r="AD42"/>
  <c r="AD128"/>
  <c r="AD53"/>
  <c r="AD38"/>
  <c r="AD46"/>
  <c r="AD31"/>
  <c r="AD66"/>
  <c r="AD60"/>
  <c r="AD144"/>
  <c r="AD57"/>
  <c r="AD47"/>
  <c r="AD62"/>
  <c r="AD61"/>
  <c r="AD33"/>
  <c r="AD86"/>
  <c r="AD139"/>
  <c r="AD136"/>
  <c r="AD59"/>
  <c r="AC16"/>
  <c r="AD137"/>
  <c r="AD24"/>
  <c r="AD54"/>
  <c r="AD63"/>
  <c r="AD55"/>
  <c r="AD49"/>
  <c r="AD64"/>
  <c r="AD119"/>
  <c r="AD83"/>
  <c r="AD30"/>
  <c r="AD78"/>
  <c r="AD56"/>
  <c r="AD120"/>
  <c r="AD90"/>
  <c r="AD65"/>
  <c r="AD93"/>
  <c r="AD22"/>
  <c r="AD43"/>
  <c r="AD52"/>
  <c r="AD44"/>
  <c r="AD50"/>
  <c r="AD58"/>
  <c r="AD81"/>
  <c r="AD79"/>
  <c r="AD133"/>
  <c r="AD80"/>
  <c r="AD142"/>
  <c r="AD26"/>
  <c r="AD32"/>
  <c r="AD19"/>
  <c r="AD92"/>
  <c r="AD84"/>
  <c r="AD140"/>
  <c r="AD143"/>
  <c r="AD88"/>
  <c r="AD77"/>
  <c r="AD12"/>
  <c r="AD23"/>
  <c r="AD85"/>
  <c r="AD127"/>
  <c r="AD25"/>
  <c r="AD29"/>
  <c r="AD125"/>
  <c r="AD89"/>
  <c r="AD28"/>
  <c r="AD138"/>
  <c r="AD51"/>
  <c r="AD40"/>
  <c r="AD122"/>
  <c r="AD82"/>
  <c r="AD34"/>
  <c r="AD121"/>
  <c r="AD91"/>
  <c r="AD87"/>
  <c r="J36"/>
  <c r="I37"/>
  <c r="F21"/>
  <c r="T36"/>
  <c r="S37"/>
  <c r="L36"/>
  <c r="K37"/>
  <c r="D36"/>
  <c r="C37"/>
  <c r="C131" s="1"/>
  <c r="D55" s="1"/>
  <c r="U37"/>
  <c r="V36"/>
  <c r="I3" i="20"/>
  <c r="G37" i="1"/>
  <c r="G131" s="1"/>
  <c r="Q37"/>
  <c r="R37" s="1"/>
  <c r="Y37"/>
  <c r="K3" i="20"/>
  <c r="Q4"/>
  <c r="I4"/>
  <c r="C4"/>
  <c r="U3"/>
  <c r="F35" i="1"/>
  <c r="Z36"/>
  <c r="Y3" i="20"/>
  <c r="Y47" s="1"/>
  <c r="X36" i="1"/>
  <c r="W3" i="20"/>
  <c r="W47" s="1"/>
  <c r="M3"/>
  <c r="R36" i="1"/>
  <c r="S3" i="20"/>
  <c r="Q3"/>
  <c r="Q47" s="1"/>
  <c r="O4"/>
  <c r="O3"/>
  <c r="AI21" i="12"/>
  <c r="D145" i="1"/>
  <c r="AC126" i="12"/>
  <c r="AB126"/>
  <c r="O37" i="1"/>
  <c r="M37"/>
  <c r="AJ145"/>
  <c r="AI145"/>
  <c r="P36"/>
  <c r="AB21"/>
  <c r="AD17"/>
  <c r="AF126" i="12"/>
  <c r="F53" i="1"/>
  <c r="V145"/>
  <c r="W37"/>
  <c r="P145"/>
  <c r="J145"/>
  <c r="AA129"/>
  <c r="AA129" i="12" s="1"/>
  <c r="H145" i="1"/>
  <c r="AA35"/>
  <c r="AA35" i="12" s="1"/>
  <c r="E36" i="1"/>
  <c r="F36" s="1"/>
  <c r="N36"/>
  <c r="E145"/>
  <c r="F129"/>
  <c r="AI27" i="12"/>
  <c r="AB27" i="1"/>
  <c r="AC27"/>
  <c r="AC126"/>
  <c r="AB126"/>
  <c r="AI126" i="12"/>
  <c r="AD16" i="1"/>
  <c r="D37"/>
  <c r="L37"/>
  <c r="V37"/>
  <c r="U131"/>
  <c r="U135" s="1"/>
  <c r="V135" s="1"/>
  <c r="T37"/>
  <c r="S131"/>
  <c r="T131" s="1"/>
  <c r="Z37"/>
  <c r="I131"/>
  <c r="I135" s="1"/>
  <c r="J37"/>
  <c r="H37"/>
  <c r="Q131"/>
  <c r="Q135" s="1"/>
  <c r="X37"/>
  <c r="M131"/>
  <c r="E3" i="20"/>
  <c r="P37" i="1"/>
  <c r="O131"/>
  <c r="O135" s="1"/>
  <c r="N37"/>
  <c r="AC27" i="12"/>
  <c r="AB27"/>
  <c r="AC35" i="1"/>
  <c r="AD35" s="1"/>
  <c r="AD27"/>
  <c r="AC129"/>
  <c r="AD129" s="1"/>
  <c r="AD126"/>
  <c r="S135"/>
  <c r="S146" s="1"/>
  <c r="N131"/>
  <c r="M135"/>
  <c r="M146" s="1"/>
  <c r="V148"/>
  <c r="T148"/>
  <c r="R148"/>
  <c r="P148"/>
  <c r="N148"/>
  <c r="J148"/>
  <c r="H148"/>
  <c r="D148"/>
  <c r="F148"/>
  <c r="AG133" i="12"/>
  <c r="AG128"/>
  <c r="AG127"/>
  <c r="AG123"/>
  <c r="AG92"/>
  <c r="AG89"/>
  <c r="AG87"/>
  <c r="AG86"/>
  <c r="AG85"/>
  <c r="AG80"/>
  <c r="AG79"/>
  <c r="AG78"/>
  <c r="AG77"/>
  <c r="AG67"/>
  <c r="AG66"/>
  <c r="AG65"/>
  <c r="AG62"/>
  <c r="AG61"/>
  <c r="AG58"/>
  <c r="AG56"/>
  <c r="AG55"/>
  <c r="AG51"/>
  <c r="AG50"/>
  <c r="AG49"/>
  <c r="AG48"/>
  <c r="AG47"/>
  <c r="AG57"/>
  <c r="AG90"/>
  <c r="AG83"/>
  <c r="AG84"/>
  <c r="AG93"/>
  <c r="AG124"/>
  <c r="AH105"/>
  <c r="AH101"/>
  <c r="AH104"/>
  <c r="AH107"/>
  <c r="AH103"/>
  <c r="AH102"/>
  <c r="AH133"/>
  <c r="AG115"/>
  <c r="AG117"/>
  <c r="AG25"/>
  <c r="AG19"/>
  <c r="AG139"/>
  <c r="AG144"/>
  <c r="AG5"/>
  <c r="AG16"/>
  <c r="AG22"/>
  <c r="AG12"/>
  <c r="AG129"/>
  <c r="AH69"/>
  <c r="AH67"/>
  <c r="AH124"/>
  <c r="AH123"/>
  <c r="AH99"/>
  <c r="AH40"/>
  <c r="AH98"/>
  <c r="AH96"/>
  <c r="AH136"/>
  <c r="AH94"/>
  <c r="AH11"/>
  <c r="AH14"/>
  <c r="AH13"/>
  <c r="AH119"/>
  <c r="AH95"/>
  <c r="AH143"/>
  <c r="AH137"/>
  <c r="AH138"/>
  <c r="AH139"/>
  <c r="D6"/>
  <c r="AH38"/>
  <c r="AH97"/>
  <c r="AH23"/>
  <c r="AH48"/>
  <c r="AH63"/>
  <c r="AH77"/>
  <c r="AH68"/>
  <c r="AH64"/>
  <c r="AH60"/>
  <c r="AH58"/>
  <c r="AH54"/>
  <c r="AH50"/>
  <c r="AH46"/>
  <c r="AH61"/>
  <c r="AH65"/>
  <c r="AH47"/>
  <c r="AH49"/>
  <c r="AH6"/>
  <c r="AH85"/>
  <c r="AH81"/>
  <c r="AH20"/>
  <c r="AH84"/>
  <c r="AH80"/>
  <c r="AH31"/>
  <c r="AH26"/>
  <c r="AH140"/>
  <c r="AH86"/>
  <c r="AH92"/>
  <c r="AH128"/>
  <c r="AH91"/>
  <c r="AH127"/>
  <c r="AH34"/>
  <c r="AH32"/>
  <c r="AH30"/>
  <c r="AH28"/>
  <c r="AH24"/>
  <c r="AH79"/>
  <c r="AH33"/>
  <c r="AH29"/>
  <c r="AH83"/>
  <c r="AH78"/>
  <c r="AH8"/>
  <c r="AH18"/>
  <c r="AH89"/>
  <c r="AH122"/>
  <c r="AH87"/>
  <c r="AH82"/>
  <c r="AH116"/>
  <c r="AH52"/>
  <c r="AH44"/>
  <c r="AH55"/>
  <c r="AH56"/>
  <c r="AH19"/>
  <c r="AH142"/>
  <c r="AH53"/>
  <c r="AH43"/>
  <c r="AH51"/>
  <c r="AH59"/>
  <c r="AH121"/>
  <c r="AH57"/>
  <c r="AH62"/>
  <c r="AH66"/>
  <c r="AH120"/>
  <c r="AH125"/>
  <c r="AH42"/>
  <c r="AH15"/>
  <c r="AH9"/>
  <c r="AH7"/>
  <c r="AH144"/>
  <c r="AH115"/>
  <c r="AC6"/>
  <c r="AB6"/>
  <c r="AH5"/>
  <c r="AC5"/>
  <c r="AH22"/>
  <c r="AD10"/>
  <c r="AD11"/>
  <c r="AD8"/>
  <c r="AD7"/>
  <c r="AC12"/>
  <c r="AD9"/>
  <c r="AD6"/>
  <c r="AH12"/>
  <c r="AD130"/>
  <c r="AD60"/>
  <c r="AD127"/>
  <c r="AD66"/>
  <c r="AD92"/>
  <c r="AD62"/>
  <c r="AD89"/>
  <c r="AD65"/>
  <c r="AD91"/>
  <c r="AD134"/>
  <c r="AD126"/>
  <c r="AD86"/>
  <c r="AD58"/>
  <c r="AD87"/>
  <c r="AD150"/>
  <c r="AD128"/>
  <c r="AD122"/>
  <c r="AD132"/>
  <c r="AD142"/>
  <c r="AD51"/>
  <c r="AD68"/>
  <c r="AD124"/>
  <c r="AD100"/>
  <c r="AD48"/>
  <c r="AD125"/>
  <c r="AD57"/>
  <c r="AD64"/>
  <c r="AD83"/>
  <c r="AD67"/>
  <c r="AD59"/>
  <c r="AD71"/>
  <c r="AD72"/>
  <c r="AD149"/>
  <c r="AD81"/>
  <c r="AD54"/>
  <c r="AD141"/>
  <c r="AD78"/>
  <c r="AD70"/>
  <c r="AD140"/>
  <c r="AD55"/>
  <c r="AD120"/>
  <c r="AD80"/>
  <c r="AD63"/>
  <c r="AD44"/>
  <c r="AD45"/>
  <c r="AD46"/>
  <c r="AD85"/>
  <c r="AD69"/>
  <c r="AD136"/>
  <c r="AD82"/>
  <c r="AD75"/>
  <c r="AD77"/>
  <c r="AD143"/>
  <c r="AD147"/>
  <c r="AD84"/>
  <c r="AD61"/>
  <c r="AD74"/>
  <c r="AD56"/>
  <c r="AD53"/>
  <c r="AD133"/>
  <c r="AD47"/>
  <c r="AD151"/>
  <c r="AD116"/>
  <c r="AD49"/>
  <c r="AD50"/>
  <c r="AD79"/>
  <c r="AD148"/>
  <c r="AD43"/>
  <c r="AD121"/>
  <c r="AD123"/>
  <c r="AD119"/>
  <c r="AD96"/>
  <c r="AD107"/>
  <c r="AD103"/>
  <c r="AD104"/>
  <c r="AD114"/>
  <c r="AD99"/>
  <c r="AD111"/>
  <c r="AD95"/>
  <c r="AD97"/>
  <c r="AD115"/>
  <c r="AD112"/>
  <c r="AD102"/>
  <c r="AD98"/>
  <c r="AD113"/>
  <c r="AD108"/>
  <c r="AD94"/>
  <c r="AD109"/>
  <c r="AD105"/>
  <c r="AD101"/>
  <c r="AD110"/>
  <c r="AD106"/>
  <c r="AD73"/>
  <c r="AD52"/>
  <c r="AD139"/>
  <c r="AD138"/>
  <c r="AD137"/>
  <c r="AD144"/>
  <c r="AD28"/>
  <c r="AD38"/>
  <c r="AD34"/>
  <c r="AD22"/>
  <c r="AD30"/>
  <c r="AD32"/>
  <c r="AD18"/>
  <c r="AD24"/>
  <c r="AD13"/>
  <c r="AC16"/>
  <c r="AD23"/>
  <c r="AD26"/>
  <c r="AD29"/>
  <c r="AD15"/>
  <c r="AD14"/>
  <c r="AD31"/>
  <c r="AD19"/>
  <c r="AD40"/>
  <c r="AD20"/>
  <c r="AD33"/>
  <c r="AD42"/>
  <c r="AD76"/>
  <c r="AD27"/>
  <c r="AH16"/>
  <c r="AH126"/>
  <c r="AG35"/>
  <c r="AD16"/>
  <c r="AG27"/>
  <c r="AH27"/>
  <c r="AG17"/>
  <c r="AG36"/>
  <c r="AG21"/>
  <c r="AG37"/>
  <c r="AG148"/>
  <c r="AG45"/>
  <c r="AH45"/>
  <c r="AG76"/>
  <c r="AH76"/>
  <c r="L39" i="1"/>
  <c r="K41"/>
  <c r="K145"/>
  <c r="K4" i="20" s="1"/>
  <c r="K131" i="1"/>
  <c r="L55" s="1"/>
  <c r="L41"/>
  <c r="L148"/>
  <c r="L39" i="5"/>
  <c r="K41"/>
  <c r="K145"/>
  <c r="K12" i="20" s="1"/>
  <c r="K131" i="5"/>
  <c r="K135" s="1"/>
  <c r="L41"/>
  <c r="R39"/>
  <c r="AK39"/>
  <c r="AA39"/>
  <c r="Q41"/>
  <c r="AN39"/>
  <c r="R41"/>
  <c r="AO41"/>
  <c r="AM41"/>
  <c r="AN41"/>
  <c r="AA41"/>
  <c r="AA145"/>
  <c r="AB145" s="1"/>
  <c r="AC39"/>
  <c r="AK41"/>
  <c r="Q145"/>
  <c r="AO145" s="1"/>
  <c r="AB39"/>
  <c r="Q131"/>
  <c r="AO131" s="1"/>
  <c r="Q12" i="20"/>
  <c r="AM131" i="5"/>
  <c r="AA131"/>
  <c r="AA135" s="1"/>
  <c r="AB135" s="1"/>
  <c r="AB41"/>
  <c r="AK131"/>
  <c r="R131"/>
  <c r="Q135"/>
  <c r="AO135" s="1"/>
  <c r="R145"/>
  <c r="AK145"/>
  <c r="AD39"/>
  <c r="AC41"/>
  <c r="AC145"/>
  <c r="AI145" s="1"/>
  <c r="AJ145" s="1"/>
  <c r="AC131"/>
  <c r="AC135" s="1"/>
  <c r="AD41"/>
  <c r="Q146"/>
  <c r="Q152" s="1"/>
  <c r="Z39" i="1"/>
  <c r="Y41"/>
  <c r="Z41"/>
  <c r="Y145"/>
  <c r="Y131"/>
  <c r="Z148"/>
  <c r="X39"/>
  <c r="W41"/>
  <c r="AA39"/>
  <c r="AC39" i="12"/>
  <c r="AB41"/>
  <c r="AB39"/>
  <c r="AI39"/>
  <c r="AG39"/>
  <c r="AA41" i="1"/>
  <c r="AI41" i="12"/>
  <c r="W131" i="1"/>
  <c r="X131" s="1"/>
  <c r="AC39"/>
  <c r="AB39"/>
  <c r="X41"/>
  <c r="W145"/>
  <c r="W4" i="20" s="1"/>
  <c r="W48" s="1"/>
  <c r="AC41" i="12"/>
  <c r="AD41"/>
  <c r="AD39"/>
  <c r="AH39"/>
  <c r="AC41" i="1"/>
  <c r="AD39"/>
  <c r="AB41"/>
  <c r="AA145"/>
  <c r="AD41"/>
  <c r="AC145"/>
  <c r="AD145" s="1"/>
  <c r="AG41" i="12"/>
  <c r="AH41"/>
  <c r="X148" i="1"/>
  <c r="AG145" i="12"/>
  <c r="AG131"/>
  <c r="AC148" i="1"/>
  <c r="AD148"/>
  <c r="AB148"/>
  <c r="AI148" i="12"/>
  <c r="AF148"/>
  <c r="AG135"/>
  <c r="AH148"/>
  <c r="AG146"/>
  <c r="AG152"/>
  <c r="AF76"/>
  <c r="D76"/>
  <c r="G135" i="25" l="1"/>
  <c r="G146" s="1"/>
  <c r="AB76"/>
  <c r="F55"/>
  <c r="C146"/>
  <c r="D59"/>
  <c r="D55"/>
  <c r="D131"/>
  <c r="AB145" i="26"/>
  <c r="AC145"/>
  <c r="AD145" s="1"/>
  <c r="S145" i="12"/>
  <c r="T145" s="1"/>
  <c r="U145"/>
  <c r="V145" s="1"/>
  <c r="D135" i="25"/>
  <c r="Y145" i="12"/>
  <c r="Z145" s="1"/>
  <c r="AA145" i="25"/>
  <c r="I135"/>
  <c r="J135" s="1"/>
  <c r="H59"/>
  <c r="J131"/>
  <c r="L145" i="19"/>
  <c r="K21" i="20"/>
  <c r="K48" s="1"/>
  <c r="I21"/>
  <c r="J145" i="19"/>
  <c r="H145"/>
  <c r="G21" i="20"/>
  <c r="G48" s="1"/>
  <c r="E21"/>
  <c r="F145" i="19"/>
  <c r="I145" i="12"/>
  <c r="J145" s="1"/>
  <c r="G145"/>
  <c r="H145" s="1"/>
  <c r="Z145" i="19"/>
  <c r="AJ145"/>
  <c r="U21" i="20"/>
  <c r="E145" i="12"/>
  <c r="F145" s="1"/>
  <c r="AA117"/>
  <c r="AH117" s="1"/>
  <c r="Q145"/>
  <c r="R145" s="1"/>
  <c r="AM145" i="5"/>
  <c r="AN145" s="1"/>
  <c r="L131"/>
  <c r="X55" i="1"/>
  <c r="U4" i="20"/>
  <c r="U48" s="1"/>
  <c r="T145" i="1"/>
  <c r="S4" i="20"/>
  <c r="S48" s="1"/>
  <c r="AI129" i="1"/>
  <c r="O48" i="20"/>
  <c r="N145" i="1"/>
  <c r="N135"/>
  <c r="M4" i="20"/>
  <c r="G4"/>
  <c r="AB129" i="1"/>
  <c r="AB129" i="12"/>
  <c r="AC129"/>
  <c r="AD129" s="1"/>
  <c r="AH129"/>
  <c r="D129"/>
  <c r="AF129"/>
  <c r="AC117"/>
  <c r="AD117" s="1"/>
  <c r="AI129"/>
  <c r="T135" i="5"/>
  <c r="R135"/>
  <c r="AO146"/>
  <c r="R146"/>
  <c r="Q48" i="20"/>
  <c r="P131" i="5"/>
  <c r="M146"/>
  <c r="M152" s="1"/>
  <c r="M153" s="1"/>
  <c r="AB131"/>
  <c r="L145"/>
  <c r="AA146"/>
  <c r="AB146" s="1"/>
  <c r="AC135" i="26"/>
  <c r="AD135" s="1"/>
  <c r="AA152"/>
  <c r="C152" i="25"/>
  <c r="D146"/>
  <c r="H146"/>
  <c r="G152"/>
  <c r="H152" s="1"/>
  <c r="H135"/>
  <c r="K135"/>
  <c r="E135"/>
  <c r="H55"/>
  <c r="M135"/>
  <c r="AA21" i="20"/>
  <c r="AA24"/>
  <c r="S21"/>
  <c r="Q135" i="19"/>
  <c r="Y4" i="20"/>
  <c r="Y48" s="1"/>
  <c r="Y51"/>
  <c r="W51"/>
  <c r="S51"/>
  <c r="T55" i="1"/>
  <c r="Q51" i="20"/>
  <c r="P55" i="1"/>
  <c r="P131"/>
  <c r="O51" i="20"/>
  <c r="L145" i="1"/>
  <c r="I51" i="20"/>
  <c r="F145" i="1"/>
  <c r="E4" i="20"/>
  <c r="AA88" i="12"/>
  <c r="AB88" s="1"/>
  <c r="Z146" i="5"/>
  <c r="Y152"/>
  <c r="Z135"/>
  <c r="X146"/>
  <c r="W152"/>
  <c r="X135"/>
  <c r="V135"/>
  <c r="U146"/>
  <c r="U51" i="20"/>
  <c r="T146" i="5"/>
  <c r="S152"/>
  <c r="Q13" i="20"/>
  <c r="AO152" i="5"/>
  <c r="Q153"/>
  <c r="R152"/>
  <c r="AO93"/>
  <c r="O146"/>
  <c r="M13" i="20"/>
  <c r="M48"/>
  <c r="AN131" i="5"/>
  <c r="K146"/>
  <c r="L135"/>
  <c r="K51" i="20"/>
  <c r="I146" i="5"/>
  <c r="J135"/>
  <c r="I48" i="20"/>
  <c r="G146" i="5"/>
  <c r="H135"/>
  <c r="G51" i="20"/>
  <c r="AD131" i="5"/>
  <c r="AD145"/>
  <c r="H145"/>
  <c r="AD135"/>
  <c r="AC146"/>
  <c r="E135"/>
  <c r="AA12" i="20"/>
  <c r="AM93" i="5"/>
  <c r="AN93" s="1"/>
  <c r="E51" i="20"/>
  <c r="AK93" i="5"/>
  <c r="C135"/>
  <c r="C48" i="20"/>
  <c r="C15"/>
  <c r="AA15" s="1"/>
  <c r="AA51" s="1"/>
  <c r="Z145" i="1"/>
  <c r="X145"/>
  <c r="W145" i="12"/>
  <c r="X145" s="1"/>
  <c r="T135" i="1"/>
  <c r="K145" i="12"/>
  <c r="L145" s="1"/>
  <c r="AI145"/>
  <c r="AB93"/>
  <c r="AH93"/>
  <c r="AC93"/>
  <c r="AD93" s="1"/>
  <c r="AC90"/>
  <c r="AD90" s="1"/>
  <c r="AH90"/>
  <c r="AB90"/>
  <c r="D145"/>
  <c r="D93"/>
  <c r="AF93"/>
  <c r="AB145" i="1"/>
  <c r="G36" i="26"/>
  <c r="W36"/>
  <c r="W36" i="12" s="1"/>
  <c r="X36" s="1"/>
  <c r="K36" i="26"/>
  <c r="K36" i="12" s="1"/>
  <c r="L36" s="1"/>
  <c r="O36" i="26"/>
  <c r="P36" s="1"/>
  <c r="C36"/>
  <c r="S36"/>
  <c r="T36" s="1"/>
  <c r="O131" i="25"/>
  <c r="P131" s="1"/>
  <c r="P37"/>
  <c r="AC36"/>
  <c r="AD36" s="1"/>
  <c r="AB36"/>
  <c r="AA37"/>
  <c r="U37"/>
  <c r="V37" s="1"/>
  <c r="V36"/>
  <c r="C154"/>
  <c r="C156" s="1"/>
  <c r="D152"/>
  <c r="W37"/>
  <c r="X37" s="1"/>
  <c r="X36"/>
  <c r="X55" i="19"/>
  <c r="W135"/>
  <c r="X131"/>
  <c r="U131"/>
  <c r="U47" i="20"/>
  <c r="S20"/>
  <c r="S37" i="19"/>
  <c r="T36"/>
  <c r="S47" i="20"/>
  <c r="T35" i="19"/>
  <c r="R55"/>
  <c r="M37"/>
  <c r="M20" i="20"/>
  <c r="M47" s="1"/>
  <c r="N36" i="19"/>
  <c r="K37"/>
  <c r="K20" i="20"/>
  <c r="K47" s="1"/>
  <c r="L36" i="19"/>
  <c r="I37"/>
  <c r="J36"/>
  <c r="I20" i="20"/>
  <c r="I47" s="1"/>
  <c r="G37" i="19"/>
  <c r="G20" i="20"/>
  <c r="H36" i="19"/>
  <c r="E37"/>
  <c r="F36"/>
  <c r="E20" i="20"/>
  <c r="E47" s="1"/>
  <c r="H131" i="1"/>
  <c r="H55"/>
  <c r="G135"/>
  <c r="G3" i="20"/>
  <c r="G47" s="1"/>
  <c r="AI35" i="12"/>
  <c r="L131" i="1"/>
  <c r="N59"/>
  <c r="R55"/>
  <c r="V55"/>
  <c r="T146"/>
  <c r="S152"/>
  <c r="AB35"/>
  <c r="T59"/>
  <c r="AI131"/>
  <c r="R131"/>
  <c r="P135"/>
  <c r="O146"/>
  <c r="N146"/>
  <c r="M152"/>
  <c r="N152" s="1"/>
  <c r="K135"/>
  <c r="I146"/>
  <c r="J59"/>
  <c r="J135"/>
  <c r="J131"/>
  <c r="J55"/>
  <c r="AA3" i="20"/>
  <c r="E37" i="1"/>
  <c r="AB35" i="12"/>
  <c r="AH35"/>
  <c r="D35"/>
  <c r="AF35"/>
  <c r="AH25"/>
  <c r="AC25"/>
  <c r="AB25"/>
  <c r="AA36" i="1"/>
  <c r="AB36" s="1"/>
  <c r="U131" i="25"/>
  <c r="S131"/>
  <c r="T37"/>
  <c r="R37"/>
  <c r="AH37"/>
  <c r="Q131"/>
  <c r="Y131"/>
  <c r="Z37"/>
  <c r="O135"/>
  <c r="P55"/>
  <c r="W131"/>
  <c r="P21" i="19"/>
  <c r="AC36"/>
  <c r="AA36"/>
  <c r="O36"/>
  <c r="O36" i="12" s="1"/>
  <c r="P36" s="1"/>
  <c r="D55" i="19"/>
  <c r="C135"/>
  <c r="D131"/>
  <c r="Y37"/>
  <c r="K37" i="26"/>
  <c r="I36"/>
  <c r="J21"/>
  <c r="I21" i="12"/>
  <c r="J21" s="1"/>
  <c r="Q36" i="26"/>
  <c r="R21"/>
  <c r="AH21"/>
  <c r="Y36"/>
  <c r="Z21"/>
  <c r="Y21" i="12"/>
  <c r="Z21" s="1"/>
  <c r="O37" i="26"/>
  <c r="C36" i="12"/>
  <c r="D36" s="1"/>
  <c r="C37" i="26"/>
  <c r="D36"/>
  <c r="S37"/>
  <c r="S37" i="12" s="1"/>
  <c r="T37" s="1"/>
  <c r="G37" i="26"/>
  <c r="G36" i="12"/>
  <c r="H36" s="1"/>
  <c r="H36" i="26"/>
  <c r="W37"/>
  <c r="Q21" i="12"/>
  <c r="R21" s="1"/>
  <c r="E21" i="26"/>
  <c r="M21"/>
  <c r="U21"/>
  <c r="J17"/>
  <c r="R17"/>
  <c r="Z17"/>
  <c r="E21" i="12"/>
  <c r="F21" s="1"/>
  <c r="U21"/>
  <c r="V21" s="1"/>
  <c r="C37"/>
  <c r="D37" s="1"/>
  <c r="W135" i="1"/>
  <c r="R135"/>
  <c r="AI135"/>
  <c r="Q146"/>
  <c r="R59"/>
  <c r="P59"/>
  <c r="M5" i="20"/>
  <c r="N55" i="1"/>
  <c r="Z131"/>
  <c r="U146"/>
  <c r="V131"/>
  <c r="V59"/>
  <c r="AD21"/>
  <c r="AC36"/>
  <c r="AD36" s="1"/>
  <c r="Z55"/>
  <c r="Y135"/>
  <c r="AB21" i="12"/>
  <c r="AH21"/>
  <c r="AC17"/>
  <c r="AB17"/>
  <c r="AH17"/>
  <c r="D21"/>
  <c r="D131" i="1"/>
  <c r="C135"/>
  <c r="I146" i="25" l="1"/>
  <c r="AB145"/>
  <c r="AC145"/>
  <c r="AD145" s="1"/>
  <c r="J59"/>
  <c r="AA145" i="12"/>
  <c r="AB117"/>
  <c r="N152" i="5"/>
  <c r="AA4" i="20"/>
  <c r="E48"/>
  <c r="N146" i="5"/>
  <c r="AA152"/>
  <c r="AA153" s="1"/>
  <c r="AA160" i="12"/>
  <c r="AA155" i="26"/>
  <c r="AC152"/>
  <c r="AD152" s="1"/>
  <c r="AB152"/>
  <c r="F59" i="25"/>
  <c r="F135"/>
  <c r="E146"/>
  <c r="N59"/>
  <c r="N135"/>
  <c r="M146"/>
  <c r="L135"/>
  <c r="L59"/>
  <c r="K146"/>
  <c r="J146"/>
  <c r="I152"/>
  <c r="J152" s="1"/>
  <c r="Q146" i="19"/>
  <c r="R135"/>
  <c r="R59"/>
  <c r="AH88" i="12"/>
  <c r="AC88"/>
  <c r="AD88" s="1"/>
  <c r="Y153" i="5"/>
  <c r="Z152"/>
  <c r="Y13" i="20"/>
  <c r="W153" i="5"/>
  <c r="X152"/>
  <c r="W13" i="20"/>
  <c r="V146" i="5"/>
  <c r="U152"/>
  <c r="S153"/>
  <c r="S13" i="20"/>
  <c r="T152" i="5"/>
  <c r="O152"/>
  <c r="P146"/>
  <c r="AA48" i="20"/>
  <c r="L146" i="5"/>
  <c r="K152"/>
  <c r="I152"/>
  <c r="J146"/>
  <c r="G152"/>
  <c r="H146"/>
  <c r="AC152"/>
  <c r="AD152" s="1"/>
  <c r="AD146"/>
  <c r="E146"/>
  <c r="F135"/>
  <c r="C51" i="20"/>
  <c r="D135" i="5"/>
  <c r="C146"/>
  <c r="AM135"/>
  <c r="AN135" s="1"/>
  <c r="AK135"/>
  <c r="AF145" i="12"/>
  <c r="S36"/>
  <c r="T36" s="1"/>
  <c r="X36" i="26"/>
  <c r="L36"/>
  <c r="AB37" i="25"/>
  <c r="AA131"/>
  <c r="AC37"/>
  <c r="AD37" s="1"/>
  <c r="X135" i="19"/>
  <c r="W146"/>
  <c r="X59"/>
  <c r="U135"/>
  <c r="V131"/>
  <c r="V55"/>
  <c r="S131"/>
  <c r="T37"/>
  <c r="M131"/>
  <c r="N37"/>
  <c r="K131"/>
  <c r="L37"/>
  <c r="J37"/>
  <c r="I131"/>
  <c r="G131"/>
  <c r="H37"/>
  <c r="F37"/>
  <c r="E131"/>
  <c r="H135" i="1"/>
  <c r="G146"/>
  <c r="H59"/>
  <c r="T152"/>
  <c r="S5" i="20"/>
  <c r="O152" i="1"/>
  <c r="P146"/>
  <c r="L135"/>
  <c r="L59"/>
  <c r="K146"/>
  <c r="I152"/>
  <c r="J146"/>
  <c r="F37"/>
  <c r="E131"/>
  <c r="AA37"/>
  <c r="AB37" s="1"/>
  <c r="AA36" i="12"/>
  <c r="AC35"/>
  <c r="AD35" s="1"/>
  <c r="AD25"/>
  <c r="Q135" i="25"/>
  <c r="R55"/>
  <c r="AH131"/>
  <c r="R131"/>
  <c r="Z55"/>
  <c r="Y135"/>
  <c r="Z131"/>
  <c r="T55"/>
  <c r="T131"/>
  <c r="S135"/>
  <c r="X131"/>
  <c r="X55"/>
  <c r="W135"/>
  <c r="O146"/>
  <c r="P59"/>
  <c r="P135"/>
  <c r="U135"/>
  <c r="V55"/>
  <c r="V131"/>
  <c r="AA37" i="19"/>
  <c r="AB36"/>
  <c r="AI36" i="12"/>
  <c r="P36" i="19"/>
  <c r="AJ36"/>
  <c r="O20" i="20"/>
  <c r="O37" i="19"/>
  <c r="AD36"/>
  <c r="AC37"/>
  <c r="D59"/>
  <c r="D135"/>
  <c r="C146"/>
  <c r="Z37"/>
  <c r="Y131"/>
  <c r="AJ37"/>
  <c r="N21" i="26"/>
  <c r="M21" i="12"/>
  <c r="N21" s="1"/>
  <c r="M36" i="26"/>
  <c r="G37" i="12"/>
  <c r="H37" s="1"/>
  <c r="H37" i="26"/>
  <c r="G131"/>
  <c r="C131"/>
  <c r="D37"/>
  <c r="J36"/>
  <c r="I37"/>
  <c r="I36" i="12"/>
  <c r="J36" s="1"/>
  <c r="U36" i="26"/>
  <c r="V21"/>
  <c r="P37"/>
  <c r="O131"/>
  <c r="Y36" i="12"/>
  <c r="Z36" s="1"/>
  <c r="Y37" i="26"/>
  <c r="Z36"/>
  <c r="E36"/>
  <c r="F21"/>
  <c r="X37"/>
  <c r="W131"/>
  <c r="W37" i="12"/>
  <c r="X37" s="1"/>
  <c r="S131" i="26"/>
  <c r="T37"/>
  <c r="R36"/>
  <c r="AH36"/>
  <c r="Q36" i="12"/>
  <c r="R36" s="1"/>
  <c r="Q37" i="26"/>
  <c r="K131"/>
  <c r="L37"/>
  <c r="K37" i="12"/>
  <c r="L37" s="1"/>
  <c r="W146" i="1"/>
  <c r="X135"/>
  <c r="X59"/>
  <c r="Q152"/>
  <c r="R146"/>
  <c r="AI146"/>
  <c r="V146"/>
  <c r="U152"/>
  <c r="AC37"/>
  <c r="AD37" s="1"/>
  <c r="Y146"/>
  <c r="Z135"/>
  <c r="Z59"/>
  <c r="AC21" i="12"/>
  <c r="AD17"/>
  <c r="C146" i="1"/>
  <c r="D59"/>
  <c r="D135"/>
  <c r="AH145" i="12" l="1"/>
  <c r="AB145"/>
  <c r="AC145"/>
  <c r="AD145" s="1"/>
  <c r="AB152" i="5"/>
  <c r="AA155"/>
  <c r="AA157" i="12" s="1"/>
  <c r="L146" i="25"/>
  <c r="K152"/>
  <c r="L152" s="1"/>
  <c r="M152"/>
  <c r="N152" s="1"/>
  <c r="N146"/>
  <c r="F146"/>
  <c r="E152"/>
  <c r="R146" i="19"/>
  <c r="Q152"/>
  <c r="V152" i="5"/>
  <c r="U153"/>
  <c r="U13" i="20"/>
  <c r="P152" i="5"/>
  <c r="O153"/>
  <c r="O13" i="20"/>
  <c r="K13"/>
  <c r="K153" i="5"/>
  <c r="L152"/>
  <c r="I153"/>
  <c r="I13" i="20"/>
  <c r="J152" i="5"/>
  <c r="G13" i="20"/>
  <c r="H152" i="5"/>
  <c r="G153"/>
  <c r="E152"/>
  <c r="F146"/>
  <c r="D146"/>
  <c r="AK146"/>
  <c r="C152"/>
  <c r="AM146"/>
  <c r="AN146" s="1"/>
  <c r="AC131" i="25"/>
  <c r="AD131" s="1"/>
  <c r="AA135"/>
  <c r="AB131"/>
  <c r="X146" i="19"/>
  <c r="W152"/>
  <c r="V59"/>
  <c r="V135"/>
  <c r="U146"/>
  <c r="S135"/>
  <c r="T131"/>
  <c r="T55"/>
  <c r="N55"/>
  <c r="M135"/>
  <c r="N131"/>
  <c r="L55"/>
  <c r="L131"/>
  <c r="K135"/>
  <c r="I135"/>
  <c r="J55"/>
  <c r="J131"/>
  <c r="H55"/>
  <c r="G135"/>
  <c r="H131"/>
  <c r="F55"/>
  <c r="E135"/>
  <c r="F131"/>
  <c r="G152" i="1"/>
  <c r="H146"/>
  <c r="O5" i="20"/>
  <c r="P152" i="1"/>
  <c r="AA131"/>
  <c r="AA135" s="1"/>
  <c r="L146"/>
  <c r="K152"/>
  <c r="I5" i="20"/>
  <c r="J152" i="1"/>
  <c r="F55"/>
  <c r="E135"/>
  <c r="F131"/>
  <c r="AH36" i="12"/>
  <c r="AB36"/>
  <c r="P146" i="25"/>
  <c r="O152"/>
  <c r="T135"/>
  <c r="T59"/>
  <c r="S146"/>
  <c r="Z59"/>
  <c r="Y146"/>
  <c r="Z135"/>
  <c r="V135"/>
  <c r="U146"/>
  <c r="V59"/>
  <c r="X135"/>
  <c r="W146"/>
  <c r="X59"/>
  <c r="R59"/>
  <c r="Q146"/>
  <c r="AH135"/>
  <c r="R135"/>
  <c r="AC131" i="19"/>
  <c r="AD37"/>
  <c r="AA131"/>
  <c r="AB37"/>
  <c r="AL36" s="1"/>
  <c r="AA20" i="20"/>
  <c r="AA47" s="1"/>
  <c r="O47"/>
  <c r="O131" i="19"/>
  <c r="AJ131" s="1"/>
  <c r="P37"/>
  <c r="O37" i="12"/>
  <c r="P37" s="1"/>
  <c r="AA37"/>
  <c r="AH37" s="1"/>
  <c r="AI37"/>
  <c r="D146" i="19"/>
  <c r="C152"/>
  <c r="Z55"/>
  <c r="Y135"/>
  <c r="Z131"/>
  <c r="Q131" i="26"/>
  <c r="R37"/>
  <c r="AH37"/>
  <c r="Q37" i="12"/>
  <c r="R37" s="1"/>
  <c r="H55" i="26"/>
  <c r="G131" i="12"/>
  <c r="H131" s="1"/>
  <c r="G135" i="26"/>
  <c r="H131"/>
  <c r="K135"/>
  <c r="L55"/>
  <c r="K131" i="12"/>
  <c r="L131" s="1"/>
  <c r="L131" i="26"/>
  <c r="X131"/>
  <c r="X55"/>
  <c r="W135"/>
  <c r="W131" i="12"/>
  <c r="X131" s="1"/>
  <c r="P55" i="26"/>
  <c r="O135"/>
  <c r="P131"/>
  <c r="E37"/>
  <c r="F36"/>
  <c r="E36" i="12"/>
  <c r="U37" i="26"/>
  <c r="V36"/>
  <c r="U36" i="12"/>
  <c r="V36" s="1"/>
  <c r="S135" i="26"/>
  <c r="T55"/>
  <c r="T131"/>
  <c r="S131" i="12"/>
  <c r="T131" s="1"/>
  <c r="AF21"/>
  <c r="Z37" i="26"/>
  <c r="Y131"/>
  <c r="Y37" i="12"/>
  <c r="Z37" s="1"/>
  <c r="I37"/>
  <c r="J37" s="1"/>
  <c r="I131" i="26"/>
  <c r="J37"/>
  <c r="C135"/>
  <c r="D55"/>
  <c r="D131"/>
  <c r="C131" i="12"/>
  <c r="M37" i="26"/>
  <c r="N36"/>
  <c r="M36" i="12"/>
  <c r="N36" s="1"/>
  <c r="X146" i="1"/>
  <c r="W152"/>
  <c r="R152"/>
  <c r="Q5" i="20"/>
  <c r="AI152" i="1"/>
  <c r="AC131"/>
  <c r="AD131" s="1"/>
  <c r="U5" i="20"/>
  <c r="V152" i="1"/>
  <c r="Y152"/>
  <c r="Z146"/>
  <c r="C152"/>
  <c r="D146"/>
  <c r="AC36" i="12"/>
  <c r="AD21"/>
  <c r="AA131" l="1"/>
  <c r="F152" i="25"/>
  <c r="E154"/>
  <c r="Q22" i="20"/>
  <c r="Q49" s="1"/>
  <c r="R152" i="19"/>
  <c r="E13" i="20"/>
  <c r="F152" i="5"/>
  <c r="E153"/>
  <c r="C153"/>
  <c r="C153" i="12" s="1"/>
  <c r="AM152" i="5"/>
  <c r="AN152" s="1"/>
  <c r="AK152"/>
  <c r="C13" i="20"/>
  <c r="C154" i="5"/>
  <c r="D152"/>
  <c r="AA146" i="25"/>
  <c r="AC135"/>
  <c r="AD135" s="1"/>
  <c r="AB135"/>
  <c r="W22" i="20"/>
  <c r="X152" i="19"/>
  <c r="V146"/>
  <c r="U152"/>
  <c r="T59"/>
  <c r="T135"/>
  <c r="S146"/>
  <c r="N59"/>
  <c r="N135"/>
  <c r="M146"/>
  <c r="L135"/>
  <c r="K146"/>
  <c r="L59"/>
  <c r="I146"/>
  <c r="J135"/>
  <c r="J59"/>
  <c r="G146"/>
  <c r="H135"/>
  <c r="H59"/>
  <c r="E146"/>
  <c r="F135"/>
  <c r="F59"/>
  <c r="H152" i="1"/>
  <c r="G5" i="20"/>
  <c r="AI131" i="12"/>
  <c r="AB131" i="1"/>
  <c r="L152"/>
  <c r="K5" i="20"/>
  <c r="E146" i="1"/>
  <c r="F135"/>
  <c r="F59"/>
  <c r="AB37" i="12"/>
  <c r="U152" i="25"/>
  <c r="V146"/>
  <c r="S152"/>
  <c r="T146"/>
  <c r="AH146"/>
  <c r="R146"/>
  <c r="Q152"/>
  <c r="P152"/>
  <c r="W152"/>
  <c r="X146"/>
  <c r="Y152"/>
  <c r="Z146"/>
  <c r="AD131" i="19"/>
  <c r="AC135"/>
  <c r="O131" i="12"/>
  <c r="P131" s="1"/>
  <c r="P131" i="19"/>
  <c r="P55"/>
  <c r="O135"/>
  <c r="AJ135" s="1"/>
  <c r="AB131"/>
  <c r="AA135"/>
  <c r="D152"/>
  <c r="C154"/>
  <c r="C22" i="20"/>
  <c r="Y146" i="19"/>
  <c r="Z59"/>
  <c r="Z135"/>
  <c r="D131" i="12"/>
  <c r="Y135" i="26"/>
  <c r="Z55"/>
  <c r="Z131"/>
  <c r="Y131" i="12"/>
  <c r="Z131" s="1"/>
  <c r="E131" i="26"/>
  <c r="F37"/>
  <c r="E37" i="12"/>
  <c r="L135" i="26"/>
  <c r="K135" i="12"/>
  <c r="L135" s="1"/>
  <c r="K146" i="26"/>
  <c r="L59"/>
  <c r="Q131" i="12"/>
  <c r="R131" s="1"/>
  <c r="Q135" i="26"/>
  <c r="AH131"/>
  <c r="R131"/>
  <c r="R55"/>
  <c r="M131"/>
  <c r="N37"/>
  <c r="M37" i="12"/>
  <c r="N37" s="1"/>
  <c r="C146" i="26"/>
  <c r="D135"/>
  <c r="D59"/>
  <c r="C135" i="12"/>
  <c r="P59" i="26"/>
  <c r="P135"/>
  <c r="O146"/>
  <c r="O135" i="12"/>
  <c r="P135" s="1"/>
  <c r="S146" i="26"/>
  <c r="T59"/>
  <c r="T135"/>
  <c r="S135" i="12"/>
  <c r="T135" s="1"/>
  <c r="F36"/>
  <c r="AF36"/>
  <c r="X59" i="26"/>
  <c r="W146"/>
  <c r="X135"/>
  <c r="W135" i="12"/>
  <c r="X135" s="1"/>
  <c r="H59" i="26"/>
  <c r="H135"/>
  <c r="G135" i="12"/>
  <c r="H135" s="1"/>
  <c r="G146" i="26"/>
  <c r="I135"/>
  <c r="J131"/>
  <c r="J55"/>
  <c r="I131" i="12"/>
  <c r="J131" s="1"/>
  <c r="U131" i="26"/>
  <c r="V37"/>
  <c r="U37" i="12"/>
  <c r="V37" s="1"/>
  <c r="W5" i="20"/>
  <c r="X152" i="1"/>
  <c r="AC135"/>
  <c r="AC146" s="1"/>
  <c r="AB135"/>
  <c r="AI135" i="12"/>
  <c r="AA146" i="1"/>
  <c r="AB131" i="12"/>
  <c r="AC131"/>
  <c r="AD131" s="1"/>
  <c r="AH131"/>
  <c r="Y5" i="20"/>
  <c r="Z152" i="1"/>
  <c r="AC37" i="12"/>
  <c r="AD37" s="1"/>
  <c r="AD36"/>
  <c r="C154" i="1"/>
  <c r="C5" i="20"/>
  <c r="D152" i="1"/>
  <c r="W49" i="20" l="1"/>
  <c r="AA13"/>
  <c r="E156" i="25"/>
  <c r="G154"/>
  <c r="C156" i="5"/>
  <c r="E154"/>
  <c r="AB146" i="25"/>
  <c r="AC146"/>
  <c r="AD146" s="1"/>
  <c r="AA152"/>
  <c r="U22" i="20"/>
  <c r="U49" s="1"/>
  <c r="V152" i="19"/>
  <c r="S152"/>
  <c r="T146"/>
  <c r="N146"/>
  <c r="M152"/>
  <c r="L146"/>
  <c r="K152"/>
  <c r="I152"/>
  <c r="J146"/>
  <c r="H146"/>
  <c r="G152"/>
  <c r="F146"/>
  <c r="E152"/>
  <c r="E154" s="1"/>
  <c r="AD135" i="1"/>
  <c r="F146"/>
  <c r="E152"/>
  <c r="E154" s="1"/>
  <c r="X152" i="25"/>
  <c r="AH152"/>
  <c r="R152"/>
  <c r="T152"/>
  <c r="V152"/>
  <c r="Z152"/>
  <c r="AB135" i="19"/>
  <c r="AA146"/>
  <c r="AA135" i="12"/>
  <c r="AH135" s="1"/>
  <c r="P135" i="19"/>
  <c r="P59"/>
  <c r="O146"/>
  <c r="AD135"/>
  <c r="AC146"/>
  <c r="C156"/>
  <c r="Z146"/>
  <c r="Y152"/>
  <c r="X146" i="26"/>
  <c r="W152"/>
  <c r="W146" i="12"/>
  <c r="X146" s="1"/>
  <c r="D135"/>
  <c r="F37"/>
  <c r="AF37"/>
  <c r="T146" i="26"/>
  <c r="S152"/>
  <c r="S146" i="12"/>
  <c r="T146" s="1"/>
  <c r="C152" i="26"/>
  <c r="D146"/>
  <c r="C146" i="12"/>
  <c r="G152" i="26"/>
  <c r="G146" i="12"/>
  <c r="H146" s="1"/>
  <c r="H146" i="26"/>
  <c r="N131"/>
  <c r="N55"/>
  <c r="M135"/>
  <c r="M131" i="12"/>
  <c r="N131" s="1"/>
  <c r="R59" i="26"/>
  <c r="Q146"/>
  <c r="AH135"/>
  <c r="R135"/>
  <c r="Q135" i="12"/>
  <c r="R135" s="1"/>
  <c r="F131" i="26"/>
  <c r="F55"/>
  <c r="E131" i="12"/>
  <c r="E135" i="26"/>
  <c r="Z59"/>
  <c r="Y146"/>
  <c r="Z135"/>
  <c r="Y135" i="12"/>
  <c r="Z135" s="1"/>
  <c r="V131" i="26"/>
  <c r="U135"/>
  <c r="V55"/>
  <c r="U131" i="12"/>
  <c r="V131" s="1"/>
  <c r="J59" i="26"/>
  <c r="J135"/>
  <c r="I135" i="12"/>
  <c r="J135" s="1"/>
  <c r="I146" i="26"/>
  <c r="P146"/>
  <c r="O152"/>
  <c r="L146"/>
  <c r="K152"/>
  <c r="K146" i="12"/>
  <c r="L146" s="1"/>
  <c r="AA152" i="1"/>
  <c r="AB146"/>
  <c r="AD146"/>
  <c r="AC152"/>
  <c r="AD152" s="1"/>
  <c r="C156"/>
  <c r="C49" i="20"/>
  <c r="I154" i="25" l="1"/>
  <c r="G156"/>
  <c r="E156" i="5"/>
  <c r="G154"/>
  <c r="AA155" i="25"/>
  <c r="AB152"/>
  <c r="AA159" i="12"/>
  <c r="AC152" i="25"/>
  <c r="AD152" s="1"/>
  <c r="S22" i="20"/>
  <c r="S49" s="1"/>
  <c r="T152" i="19"/>
  <c r="M22" i="20"/>
  <c r="M49" s="1"/>
  <c r="N152" i="19"/>
  <c r="K22" i="20"/>
  <c r="K49" s="1"/>
  <c r="L152" i="19"/>
  <c r="I22" i="20"/>
  <c r="I49" s="1"/>
  <c r="J152" i="19"/>
  <c r="G22" i="20"/>
  <c r="G49" s="1"/>
  <c r="H152" i="19"/>
  <c r="F152"/>
  <c r="E22" i="20"/>
  <c r="F152" i="1"/>
  <c r="E5" i="20"/>
  <c r="AB135" i="12"/>
  <c r="P146" i="19"/>
  <c r="O152"/>
  <c r="AB146"/>
  <c r="AA152"/>
  <c r="AA152" i="12" s="1"/>
  <c r="AC152" i="19"/>
  <c r="AD152" s="1"/>
  <c r="AD146"/>
  <c r="AI146" i="12"/>
  <c r="AJ146" i="19"/>
  <c r="AC135" i="12"/>
  <c r="AD135" s="1"/>
  <c r="O146"/>
  <c r="P146" s="1"/>
  <c r="AA146"/>
  <c r="AH146" s="1"/>
  <c r="E156" i="19"/>
  <c r="G154"/>
  <c r="Y22" i="20"/>
  <c r="Z152" i="19"/>
  <c r="AJ152"/>
  <c r="F131" i="12"/>
  <c r="AF131"/>
  <c r="I146"/>
  <c r="J146" s="1"/>
  <c r="I152" i="26"/>
  <c r="J146"/>
  <c r="E146"/>
  <c r="F59"/>
  <c r="F135"/>
  <c r="E135" i="12"/>
  <c r="D146"/>
  <c r="S152"/>
  <c r="T152" s="1"/>
  <c r="T152" i="26"/>
  <c r="L152"/>
  <c r="K152" i="12"/>
  <c r="L152" s="1"/>
  <c r="Q152" i="26"/>
  <c r="R146"/>
  <c r="AH146"/>
  <c r="Q146" i="12"/>
  <c r="R146" s="1"/>
  <c r="H152" i="26"/>
  <c r="G152" i="12"/>
  <c r="H152" s="1"/>
  <c r="X152" i="26"/>
  <c r="W152" i="12"/>
  <c r="X152" s="1"/>
  <c r="P152" i="26"/>
  <c r="O152" i="12"/>
  <c r="P152" s="1"/>
  <c r="U146" i="26"/>
  <c r="V135"/>
  <c r="V59"/>
  <c r="U135" i="12"/>
  <c r="V135" s="1"/>
  <c r="Z146" i="26"/>
  <c r="Y152"/>
  <c r="Y146" i="12"/>
  <c r="Z146" s="1"/>
  <c r="M146" i="26"/>
  <c r="N59"/>
  <c r="N135"/>
  <c r="M135" i="12"/>
  <c r="N135" s="1"/>
  <c r="D152" i="26"/>
  <c r="C154"/>
  <c r="C152" i="12"/>
  <c r="AA155" i="1"/>
  <c r="AA156" i="12" s="1"/>
  <c r="AB152" i="1"/>
  <c r="E156"/>
  <c r="G154"/>
  <c r="I156" i="25" l="1"/>
  <c r="K154"/>
  <c r="G156" i="5"/>
  <c r="I154"/>
  <c r="AB146" i="12"/>
  <c r="AC146"/>
  <c r="AD146" s="1"/>
  <c r="E49" i="20"/>
  <c r="AA5"/>
  <c r="AA155" i="19"/>
  <c r="AA158" i="12" s="1"/>
  <c r="AB152" i="19"/>
  <c r="P152"/>
  <c r="O22" i="20"/>
  <c r="O49" s="1"/>
  <c r="AI152" i="12"/>
  <c r="G156" i="19"/>
  <c r="I154"/>
  <c r="AA22" i="20"/>
  <c r="Y49"/>
  <c r="C156" i="26"/>
  <c r="C154" i="12"/>
  <c r="V146" i="26"/>
  <c r="U152"/>
  <c r="U146" i="12"/>
  <c r="V146" s="1"/>
  <c r="D152"/>
  <c r="Z152" i="26"/>
  <c r="Y152" i="12"/>
  <c r="Z152" s="1"/>
  <c r="I152"/>
  <c r="J152" i="26"/>
  <c r="F135" i="12"/>
  <c r="AF135"/>
  <c r="M152" i="26"/>
  <c r="N146"/>
  <c r="M146" i="12"/>
  <c r="N146" s="1"/>
  <c r="AH152" i="26"/>
  <c r="R152"/>
  <c r="Q152" i="12"/>
  <c r="R152" s="1"/>
  <c r="E152" i="26"/>
  <c r="F146"/>
  <c r="E146" i="12"/>
  <c r="AA153"/>
  <c r="AC152"/>
  <c r="AD152" s="1"/>
  <c r="AA155"/>
  <c r="AB152"/>
  <c r="AH152"/>
  <c r="G156" i="1"/>
  <c r="I154"/>
  <c r="M154" i="25" l="1"/>
  <c r="K156"/>
  <c r="K154" i="5"/>
  <c r="I156"/>
  <c r="AA49" i="20"/>
  <c r="I156" i="19"/>
  <c r="K154"/>
  <c r="V152" i="26"/>
  <c r="U152" i="12"/>
  <c r="N152" i="26"/>
  <c r="M152" i="12"/>
  <c r="N152" s="1"/>
  <c r="F152" i="26"/>
  <c r="E154"/>
  <c r="E152" i="12"/>
  <c r="E154" s="1"/>
  <c r="G154" s="1"/>
  <c r="I154" s="1"/>
  <c r="K154" s="1"/>
  <c r="F146"/>
  <c r="AF146"/>
  <c r="I156"/>
  <c r="J152"/>
  <c r="K154" i="1"/>
  <c r="I156"/>
  <c r="M156" i="25" l="1"/>
  <c r="O154"/>
  <c r="K156" i="5"/>
  <c r="M154"/>
  <c r="M154" i="12"/>
  <c r="O154" s="1"/>
  <c r="Q154" s="1"/>
  <c r="S154" s="1"/>
  <c r="S157" s="1"/>
  <c r="K156" i="19"/>
  <c r="M154"/>
  <c r="F152" i="12"/>
  <c r="AF152"/>
  <c r="E156" i="26"/>
  <c r="G154"/>
  <c r="V152" i="12"/>
  <c r="K156" i="1"/>
  <c r="M154"/>
  <c r="O156" i="25" l="1"/>
  <c r="Q154"/>
  <c r="M156" i="5"/>
  <c r="O154"/>
  <c r="M156" i="12"/>
  <c r="M156" i="19"/>
  <c r="O154"/>
  <c r="U154" i="12"/>
  <c r="W154" s="1"/>
  <c r="Y154" s="1"/>
  <c r="G156" i="26"/>
  <c r="I154"/>
  <c r="O154" i="1"/>
  <c r="M156"/>
  <c r="Q156" i="25" l="1"/>
  <c r="S154"/>
  <c r="O156" i="5"/>
  <c r="Q154"/>
  <c r="O156" i="19"/>
  <c r="Q154"/>
  <c r="I156" i="26"/>
  <c r="K154"/>
  <c r="Q154" i="1"/>
  <c r="O156"/>
  <c r="S156" i="25" l="1"/>
  <c r="U154"/>
  <c r="S154" i="5"/>
  <c r="Q156"/>
  <c r="Q156" i="19"/>
  <c r="S154"/>
  <c r="K156" i="26"/>
  <c r="M154"/>
  <c r="S154" i="1"/>
  <c r="Q156"/>
  <c r="W154" i="25" l="1"/>
  <c r="U156"/>
  <c r="S156" i="5"/>
  <c r="U154"/>
  <c r="U154" i="19"/>
  <c r="S156"/>
  <c r="M156" i="26"/>
  <c r="O154"/>
  <c r="U154" i="1"/>
  <c r="S156"/>
  <c r="Y154" i="25" l="1"/>
  <c r="Y156" s="1"/>
  <c r="W156"/>
  <c r="U156" i="5"/>
  <c r="W154"/>
  <c r="U156" i="19"/>
  <c r="W154"/>
  <c r="O156" i="26"/>
  <c r="Q154"/>
  <c r="W154" i="1"/>
  <c r="U156"/>
  <c r="Y154" i="5" l="1"/>
  <c r="Y156" s="1"/>
  <c r="W156"/>
  <c r="W156" i="19"/>
  <c r="Y154"/>
  <c r="Y156" s="1"/>
  <c r="Q156" i="26"/>
  <c r="S154"/>
  <c r="W156" i="1"/>
  <c r="Y154"/>
  <c r="Y156" s="1"/>
  <c r="S156" i="26" l="1"/>
  <c r="U154"/>
  <c r="U156" l="1"/>
  <c r="W154"/>
  <c r="W156" l="1"/>
  <c r="Y154"/>
  <c r="Y156" s="1"/>
</calcChain>
</file>

<file path=xl/comments1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</commentList>
</comments>
</file>

<file path=xl/comments2.xml><?xml version="1.0" encoding="utf-8"?>
<comments xmlns="http://schemas.openxmlformats.org/spreadsheetml/2006/main">
  <authors>
    <author>Nirav</author>
  </authors>
  <commentList>
    <comment ref="C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C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  <comment ref="C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</commentList>
</comments>
</file>

<file path=xl/comments3.xml><?xml version="1.0" encoding="utf-8"?>
<comments xmlns="http://schemas.openxmlformats.org/spreadsheetml/2006/main">
  <authors>
    <author>Rajesh</author>
  </authors>
  <commentList>
    <comment ref="Q148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Added 961.54
</t>
        </r>
      </text>
    </comment>
  </commentList>
</comments>
</file>

<file path=xl/comments4.xml><?xml version="1.0" encoding="utf-8"?>
<comments xmlns="http://schemas.openxmlformats.org/spreadsheetml/2006/main">
  <authors>
    <author>Nirav</author>
  </authors>
  <commentList>
    <comment ref="C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E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I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K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M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O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Q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S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U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W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Y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C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E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G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I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K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M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O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Q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S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U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W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Y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  <comment ref="C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E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I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K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M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O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Q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S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U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W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Y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</commentList>
</comments>
</file>

<file path=xl/comments5.xml><?xml version="1.0" encoding="utf-8"?>
<comments xmlns="http://schemas.openxmlformats.org/spreadsheetml/2006/main">
  <authors>
    <author>Nirav</author>
  </authors>
  <commentList>
    <comment ref="C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E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I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K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M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O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Q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S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U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W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Y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C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E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G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I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K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M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O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Q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S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  <comment ref="C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E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I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K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M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O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Q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</commentList>
</comments>
</file>

<file path=xl/comments6.xml><?xml version="1.0" encoding="utf-8"?>
<comments xmlns="http://schemas.openxmlformats.org/spreadsheetml/2006/main">
  <authors>
    <author>Nirav</author>
  </authors>
  <commentList>
    <comment ref="C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E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I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K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M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O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Q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S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U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W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Y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C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E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G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I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K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M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O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Q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S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U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W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Y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  <comment ref="C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E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I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K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M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O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Q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S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U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W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Y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</commentList>
</comments>
</file>

<file path=xl/comments7.xml><?xml version="1.0" encoding="utf-8"?>
<comments xmlns="http://schemas.openxmlformats.org/spreadsheetml/2006/main">
  <authors>
    <author>Nirav</author>
  </authors>
  <commentList>
    <comment ref="C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E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I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K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M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O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Q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S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U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W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Y43" authorId="0">
      <text>
        <r>
          <rPr>
            <sz val="9"/>
            <color indexed="81"/>
            <rFont val="Tahoma"/>
            <family val="2"/>
          </rPr>
          <t xml:space="preserve">
Trend ananlysis as per season and ramadan.</t>
        </r>
      </text>
    </comment>
    <comment ref="C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E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G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I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K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M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O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Q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S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U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W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Y44" authorId="0">
      <text>
        <r>
          <rPr>
            <sz val="9"/>
            <color indexed="81"/>
            <rFont val="Tahoma"/>
            <family val="2"/>
          </rPr>
          <t xml:space="preserve">
1. Average
2. Trend analysis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  <comment ref="C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E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I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K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M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O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Q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S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U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W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  <comment ref="Y52" authorId="0">
      <text>
        <r>
          <rPr>
            <sz val="9"/>
            <color indexed="81"/>
            <rFont val="Tahoma"/>
            <family val="2"/>
          </rPr>
          <t xml:space="preserve">
as per actual contract</t>
        </r>
      </text>
    </comment>
  </commentList>
</comments>
</file>

<file path=xl/sharedStrings.xml><?xml version="1.0" encoding="utf-8"?>
<sst xmlns="http://schemas.openxmlformats.org/spreadsheetml/2006/main" count="1914" uniqueCount="303">
  <si>
    <t>Consultation charges</t>
  </si>
  <si>
    <t>Other expenses</t>
  </si>
  <si>
    <t>Rent</t>
  </si>
  <si>
    <t>Electricity</t>
  </si>
  <si>
    <t>Water</t>
  </si>
  <si>
    <t>Telephone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</si>
  <si>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</si>
  <si>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</si>
  <si>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</si>
  <si>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</si>
  <si>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</si>
  <si>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</si>
  <si>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</si>
  <si>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</si>
  <si>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</si>
  <si>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</si>
  <si>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</si>
  <si>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</si>
  <si>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</si>
  <si>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</si>
  <si>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</si>
  <si>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</si>
  <si>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</si>
  <si>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</si>
  <si>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</si>
  <si>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</si>
  <si>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</si>
  <si>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</si>
  <si>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</si>
  <si>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</si>
  <si>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</si>
  <si>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</si>
  <si>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</si>
  <si>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</si>
  <si>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</si>
  <si>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Social Security 11%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</si>
  <si>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</si>
  <si>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</si>
  <si>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</si>
  <si>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</si>
  <si>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</si>
  <si>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</si>
  <si>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</si>
  <si>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</si>
  <si>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</si>
  <si>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</si>
  <si>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</si>
  <si>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</si>
  <si>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</si>
  <si>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</si>
  <si>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</si>
  <si>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</si>
  <si>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</si>
  <si>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</si>
  <si>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</si>
  <si>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</si>
  <si>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</si>
  <si>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</si>
  <si>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</si>
  <si>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</si>
  <si>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</si>
  <si>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Labor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</si>
  <si>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</si>
  <si>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</si>
  <si>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</si>
  <si>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</si>
  <si>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</si>
  <si>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</si>
  <si>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</si>
  <si>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</si>
  <si>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</si>
  <si>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</si>
  <si>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</si>
  <si>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</si>
  <si>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sales return ( 1 %)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</si>
  <si>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</si>
  <si>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</si>
  <si>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</si>
  <si>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</si>
  <si>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</si>
  <si>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</si>
  <si>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</si>
  <si>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</si>
  <si>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</si>
  <si>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</si>
  <si>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</si>
  <si>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</si>
  <si>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</si>
  <si>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</si>
  <si>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</si>
  <si>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</si>
  <si>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Staff Benefits</t>
  </si>
  <si>
    <t>Cash collection service charges</t>
  </si>
  <si>
    <t>Interest on loan</t>
  </si>
  <si>
    <t>Other Income+Total</t>
  </si>
  <si>
    <t>COGS+Total</t>
  </si>
  <si>
    <t>Warehouse+Charges</t>
  </si>
  <si>
    <t>Other Direct Expenses +total</t>
  </si>
  <si>
    <t>Direct Expense+total</t>
  </si>
  <si>
    <t>Franchise Expense+Total</t>
  </si>
  <si>
    <t>Salaries &amp; Allowances + Total</t>
  </si>
  <si>
    <t>Selling &amp; Distribution + Total</t>
  </si>
  <si>
    <t>Finance Expenses + Total</t>
  </si>
  <si>
    <t>QAR</t>
  </si>
  <si>
    <t>Vehicle mainteanace</t>
  </si>
  <si>
    <t>Loan management fess</t>
  </si>
  <si>
    <t>JOD</t>
  </si>
  <si>
    <t>Other Income-Total</t>
  </si>
  <si>
    <t>COGS-Total</t>
  </si>
  <si>
    <t>Warehouse-Charges</t>
  </si>
  <si>
    <t>Other Direct Expenses -total</t>
  </si>
  <si>
    <t>Direct Expense-total</t>
  </si>
  <si>
    <t>Franchise Expense-Total</t>
  </si>
  <si>
    <t xml:space="preserve">vehicle maintenace </t>
  </si>
  <si>
    <t>Salaries &amp; Allowances - Total</t>
  </si>
  <si>
    <t>Selling &amp; Distribution - Total</t>
  </si>
  <si>
    <t>Finance Expenses - Total</t>
  </si>
  <si>
    <t>Lc &amp; commission charges</t>
  </si>
  <si>
    <t>TOTAL</t>
  </si>
  <si>
    <t>AVERAGE</t>
  </si>
  <si>
    <t>OCT</t>
  </si>
  <si>
    <t>NOV</t>
  </si>
  <si>
    <t>DEC</t>
  </si>
  <si>
    <t>Sales Promotion - Gift Vouchers</t>
  </si>
  <si>
    <t>EBDIT</t>
  </si>
  <si>
    <t>EBITD</t>
  </si>
  <si>
    <t>TOTAL INDIRECT EXPENSES</t>
  </si>
  <si>
    <t>Depreciation - Furniture &amp; Fix</t>
  </si>
  <si>
    <t>Depreciation -Hardware &amp; Softw</t>
  </si>
  <si>
    <t>Depreciation -trolleys and car</t>
  </si>
  <si>
    <t>Stores Accessory Depreciation</t>
  </si>
  <si>
    <t>NET PROFIT BEFORE DEP &amp; TAX</t>
  </si>
  <si>
    <t>TOTAL DEPRECIATION</t>
  </si>
  <si>
    <t>NET PROFIT BEFORE TAX</t>
  </si>
  <si>
    <t>TOTAL EXPENSES</t>
  </si>
  <si>
    <t>NET PROFIT BEFORE TAXATION</t>
  </si>
  <si>
    <t>Head Office Apportionment</t>
  </si>
  <si>
    <t>CODE</t>
  </si>
  <si>
    <t>YTD AFTER TAXATION (NET PROFIT)</t>
  </si>
  <si>
    <t>Preleminary Expenses</t>
  </si>
  <si>
    <t>Interst on Loan</t>
  </si>
  <si>
    <t>Lc comm &amp; Commitment Charges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</si>
  <si>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</si>
  <si>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</si>
  <si>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</si>
  <si>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</si>
  <si>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</si>
  <si>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</si>
  <si>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Actual</t>
  </si>
  <si>
    <t>average upto october</t>
  </si>
  <si>
    <t>average for actual</t>
  </si>
  <si>
    <t>7 times a year</t>
  </si>
  <si>
    <t>average</t>
  </si>
  <si>
    <t>Average 47.50 %</t>
  </si>
  <si>
    <t>Same as last year.</t>
  </si>
  <si>
    <t>Actual as per contract</t>
  </si>
  <si>
    <t>Last year's average</t>
  </si>
  <si>
    <t>last year's average + average for printing.</t>
  </si>
  <si>
    <t>as per decided by hasit - 5 %</t>
  </si>
  <si>
    <t>standard exchange loss</t>
  </si>
  <si>
    <t>as per standard policy for 5 jod per day</t>
  </si>
  <si>
    <t>REMARKS</t>
  </si>
  <si>
    <t>there was loss in one month in last year.</t>
  </si>
  <si>
    <t>as per last year</t>
  </si>
  <si>
    <t>nothing in plan</t>
  </si>
  <si>
    <t>Standard taken after analysiing data for POS</t>
  </si>
  <si>
    <t>Standard taken after analysiing data for shopping bags</t>
  </si>
  <si>
    <t>not required</t>
  </si>
  <si>
    <t>mailer taken from sales promotion calendar</t>
  </si>
  <si>
    <t>sms taken from sales promotion calendar</t>
  </si>
  <si>
    <t>matalan UK POS theatre not taken.</t>
  </si>
  <si>
    <t>Base</t>
  </si>
  <si>
    <t>Data</t>
  </si>
  <si>
    <t>Average Upto Dec10</t>
  </si>
  <si>
    <t>As given by hasit</t>
  </si>
  <si>
    <t>taken same as last year as given by hasit</t>
  </si>
  <si>
    <t>100 as average for micellaneous direct exp. - check details</t>
  </si>
  <si>
    <t>Average Upto Oct10</t>
  </si>
  <si>
    <t>Taken as 0.05 % of sales as per policy.</t>
  </si>
  <si>
    <t>Increase to 250 JOD</t>
  </si>
  <si>
    <t>0.80 % of sales as per last year</t>
  </si>
  <si>
    <t>upto oct 2010</t>
  </si>
  <si>
    <t>upto dec 2010</t>
  </si>
  <si>
    <t>Medical Insurance - 304.88 Add 20%</t>
  </si>
  <si>
    <t>Actual as per contract+5% increase</t>
  </si>
  <si>
    <t>average+ 5 % increase</t>
  </si>
  <si>
    <t>Withholding tax</t>
  </si>
  <si>
    <t>EBITD ( NET OPERATING PROFIT)</t>
  </si>
  <si>
    <t>DEPRECIATION &amp; PROVISOINS</t>
  </si>
  <si>
    <t>NET PROFIT AFTER TAXATION.</t>
  </si>
  <si>
    <t>Management Fee/ Withholding tax</t>
  </si>
  <si>
    <t>NET PROFIT AFTER MANGT. FEE/TAXATION</t>
  </si>
  <si>
    <t>Provision for Taxation</t>
  </si>
  <si>
    <t>Employees Insurance</t>
  </si>
  <si>
    <t>Staff Visa &amp; Medical charges</t>
  </si>
  <si>
    <t>Staff Accomodation</t>
  </si>
  <si>
    <t>Voucher Sales - Promotion</t>
  </si>
  <si>
    <t>Social Security 12.25%</t>
  </si>
  <si>
    <t>BASE</t>
  </si>
  <si>
    <t>AS PER CONTRACT</t>
  </si>
  <si>
    <t>PREV.YEAR</t>
  </si>
  <si>
    <t xml:space="preserve"> </t>
  </si>
  <si>
    <t xml:space="preserve">Depreciation-Trafic counters </t>
  </si>
  <si>
    <t>Average</t>
  </si>
  <si>
    <t xml:space="preserve">Maraf tax 2% of yearly rent,Commercial registrtion </t>
  </si>
  <si>
    <t>1% of sales</t>
  </si>
  <si>
    <t>Management Fee</t>
  </si>
  <si>
    <t>As per policy 0.05% on Sales</t>
  </si>
  <si>
    <t>contract</t>
  </si>
  <si>
    <t>Maraf+Municpality</t>
  </si>
  <si>
    <t>ADD 5 % ,</t>
  </si>
  <si>
    <t>External Billboards</t>
  </si>
  <si>
    <t>Management fees</t>
  </si>
  <si>
    <t>Consolidated</t>
  </si>
  <si>
    <t>Albaraka</t>
  </si>
  <si>
    <t>Arabella</t>
  </si>
  <si>
    <t>Galleria</t>
  </si>
  <si>
    <t>Penalty for tax</t>
  </si>
  <si>
    <t>Average Upto Oct14</t>
  </si>
  <si>
    <t>Last year's average + 25 Increased</t>
  </si>
  <si>
    <t>Ala Qattan + Maarf Tax + Others Actual 550+200</t>
  </si>
  <si>
    <t>Agreement</t>
  </si>
  <si>
    <t>Marrf Tax + others</t>
  </si>
  <si>
    <t>0.325 % as per last year</t>
  </si>
  <si>
    <t>Sonicwall Renewals</t>
  </si>
  <si>
    <t>DynDNS Renewals</t>
  </si>
  <si>
    <t>Printer Cartridge</t>
  </si>
  <si>
    <t>Nedap EAS Renewal</t>
  </si>
  <si>
    <t>Email &amp; Internet VPN-BTC</t>
  </si>
  <si>
    <t>last year average + 5%</t>
  </si>
  <si>
    <t>last year actual + 15 % increase</t>
  </si>
  <si>
    <t>Increase to +50 JOD</t>
  </si>
  <si>
    <t>Average rounded</t>
  </si>
  <si>
    <t>last year / as per agreement + 5 % increase pest control</t>
  </si>
  <si>
    <t>Avg</t>
  </si>
  <si>
    <t>5% added</t>
  </si>
  <si>
    <t>Add other</t>
  </si>
  <si>
    <t>Actual as per contract on 30% +5% increase</t>
  </si>
  <si>
    <t>Contract</t>
  </si>
  <si>
    <t>rouned to other charges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</si>
  <si>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</si>
  <si>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</si>
  <si>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</si>
  <si>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</si>
  <si>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</si>
  <si>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</si>
  <si>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</si>
  <si>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</si>
  <si>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RMC Connect</t>
  </si>
  <si>
    <t>RMS Connect</t>
  </si>
  <si>
    <t>MATALAN, JORDAN- CONSOLIDATED BUDGETED  PROFIT &amp; LOSS FOR THE YEAR 2016</t>
  </si>
  <si>
    <t>MATALAN MIDDLE EAST - BUDGETED CASH PROFIT &amp; LOSS ACCOUNT FOR MECCA MALL_LADIES FOR 2016</t>
  </si>
  <si>
    <t>MATALAN MIDDLE EAST - BUDGETED CASH PROFIT &amp; LOSS ACCOUNT FOR MECCA MALL_KIDS FOR 2016</t>
  </si>
  <si>
    <t>Comments</t>
  </si>
  <si>
    <t>Chilled water off during Jan to May month on 2015</t>
  </si>
  <si>
    <t>Ashraf &amp; cash auditor salary added in Qatar HO</t>
  </si>
  <si>
    <t>5% rent as per contract</t>
  </si>
  <si>
    <t>Chilled water off during Jan to April, 2015</t>
  </si>
  <si>
    <t>Maraf Tax 2% + other</t>
  </si>
  <si>
    <t>360 as average for micellaneous direct exp. - check details</t>
  </si>
  <si>
    <t>upto July +5 % increase - rounded to 225</t>
  </si>
  <si>
    <t>Upto Aug. - Add 5% rounded to 800</t>
  </si>
  <si>
    <t>Average Upto July 16</t>
  </si>
  <si>
    <t>Average Upto Aug. 16</t>
  </si>
  <si>
    <t>Average Upto Oct16</t>
  </si>
  <si>
    <t>Avg. 50 JD</t>
  </si>
  <si>
    <t>Avg. 300</t>
  </si>
  <si>
    <t>Rounded to 50 JD</t>
  </si>
  <si>
    <t>Average to 75 JD</t>
  </si>
  <si>
    <t>As per contract</t>
  </si>
  <si>
    <t>Average upt to Sep 16</t>
  </si>
  <si>
    <t>Upto Sep 2016</t>
  </si>
  <si>
    <t>Added 20%</t>
  </si>
  <si>
    <t>Monthly Maitenance 843 + others</t>
  </si>
  <si>
    <r>
      <t>store insurance</t>
    </r>
    <r>
      <rPr>
        <b/>
        <sz val="11"/>
        <color rgb="FFFF0000"/>
        <rFont val="Calibri"/>
        <family val="2"/>
        <scheme val="minor"/>
      </rPr>
      <t xml:space="preserve"> ( 204 +20%)</t>
    </r>
  </si>
  <si>
    <t>15 % increase</t>
  </si>
  <si>
    <t>Average Upto Sept 16</t>
  </si>
  <si>
    <t>Unrealized Fx Gain and Loss</t>
  </si>
  <si>
    <t>Taken as .30 % of sales</t>
  </si>
  <si>
    <t>Increase 15%</t>
  </si>
  <si>
    <t>Average upto sep 16</t>
  </si>
  <si>
    <t>Average upto Aug. 16</t>
  </si>
  <si>
    <t>Rounded to 150</t>
  </si>
  <si>
    <t>rounded to 200</t>
  </si>
  <si>
    <t>Upto Aug. 16</t>
  </si>
  <si>
    <t>Ma'araf - 690 p/m+ other</t>
  </si>
  <si>
    <r>
      <t>store insurance</t>
    </r>
    <r>
      <rPr>
        <b/>
        <sz val="11"/>
        <color rgb="FFFF0000"/>
        <rFont val="Calibri"/>
        <family val="2"/>
        <scheme val="minor"/>
      </rPr>
      <t xml:space="preserve"> (177.76 +20%)</t>
    </r>
  </si>
  <si>
    <t>Average Upto Sep 16</t>
  </si>
  <si>
    <t>avg 250 JOD+50 increase</t>
  </si>
  <si>
    <t>avg 683 + rounded</t>
  </si>
  <si>
    <t>avg. 75</t>
  </si>
  <si>
    <t>monthly</t>
  </si>
  <si>
    <t>( A.C. Maintanance ?) avg 150</t>
  </si>
  <si>
    <t>last year's average 227 + average for printing.</t>
  </si>
  <si>
    <t>Social Security 13.75%</t>
  </si>
  <si>
    <t>MATALAN MIDDLE EAST - BUDGETED CASH PROFIT &amp; LOSS ACCOUNT FOR AL BARAKA MALL FOR 2017</t>
  </si>
  <si>
    <t>MATALAN MIDDLE EAST - BUDGETED CASH PROFIT &amp; LOSS ACCOUNT FOR ARABELLA MALL FOR 2017</t>
  </si>
  <si>
    <t>MATALAN MIDDLE EAST - BUDGETED CASH PROFIT &amp; LOSS ACCOUNT FOR GALARIA MALL FOR 2017</t>
  </si>
  <si>
    <t>MATALAN MIDDLE EAST - BUDGETED CASH PROFIT &amp; LOSS ACCOUNT FOR MECCA MALL FOR 2017</t>
  </si>
  <si>
    <t>MATALAN MIDDLE EAST - BUDGETED CASH PROFIT &amp; LOSS ACCOUNT FOR ABDALI MALL FOR 2017</t>
  </si>
  <si>
    <t>Mecca Mall</t>
  </si>
  <si>
    <t>Abali Mall</t>
  </si>
  <si>
    <t>Ala Qattan + Maarf Tax 672.55+ Others Actual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</si>
</sst>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&quot; &quot;* #,##0.00_);_(&quot; &quot;* \(#,##0.00\);_(&quot; &quot;* &quot;-&quot;??_);_(@_)"/>
    <numFmt numFmtId="165" formatCode="_(* #,##0_);_(* \(#,##0\);_(* &quot;-&quot;??_);_(@_)"/>
    <numFmt numFmtId="166" formatCode="0.000%"/>
    <numFmt numFmtId="167" formatCode="0.0000%"/>
    <numFmt numFmtId="168" formatCode="_(* #,##0.0_);_(* \(#,##0.0\);_(* &quot;-&quot;??_);_(@_)"/>
    <numFmt numFmtId="169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Verdana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Verdana"/>
      <family val="2"/>
    </font>
    <font>
      <b/>
      <sz val="14"/>
      <color rgb="FFFF0000"/>
      <name val="Verdana"/>
      <family val="2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613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42" applyFont="1" applyFill="1" applyBorder="1" applyAlignment="1">
      <alignment horizontal="left"/>
    </xf>
    <xf numFmtId="0" fontId="0" fillId="0" borderId="0" xfId="0" applyFill="1"/>
    <xf numFmtId="0" fontId="14" fillId="0" borderId="0" xfId="0" applyFont="1" applyFill="1"/>
    <xf numFmtId="0" fontId="21" fillId="33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0" xfId="42" applyFont="1" applyFill="1" applyBorder="1" applyAlignment="1">
      <alignment horizontal="left"/>
    </xf>
    <xf numFmtId="0" fontId="21" fillId="34" borderId="13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/>
    <xf numFmtId="0" fontId="22" fillId="0" borderId="0" xfId="0" applyFont="1"/>
    <xf numFmtId="0" fontId="22" fillId="0" borderId="0" xfId="0" applyFont="1" applyFill="1"/>
    <xf numFmtId="0" fontId="0" fillId="0" borderId="14" xfId="0" applyFill="1" applyBorder="1"/>
    <xf numFmtId="165" fontId="0" fillId="0" borderId="14" xfId="43" applyNumberFormat="1" applyFont="1" applyBorder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43" fontId="0" fillId="0" borderId="0" xfId="43" applyFont="1" applyFill="1"/>
    <xf numFmtId="43" fontId="0" fillId="33" borderId="10" xfId="43" applyFont="1" applyFill="1" applyBorder="1"/>
    <xf numFmtId="43" fontId="0" fillId="33" borderId="12" xfId="43" applyFont="1" applyFill="1" applyBorder="1"/>
    <xf numFmtId="43" fontId="0" fillId="36" borderId="10" xfId="43" applyFont="1" applyFill="1" applyBorder="1"/>
    <xf numFmtId="43" fontId="22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21" fillId="36" borderId="10" xfId="0" applyFont="1" applyFill="1" applyBorder="1"/>
    <xf numFmtId="43" fontId="21" fillId="34" borderId="13" xfId="43" applyFont="1" applyFill="1" applyBorder="1" applyAlignment="1">
      <alignment horizontal="center"/>
    </xf>
    <xf numFmtId="0" fontId="14" fillId="34" borderId="13" xfId="0" applyFont="1" applyFill="1" applyBorder="1"/>
    <xf numFmtId="0" fontId="21" fillId="34" borderId="15" xfId="0" applyFont="1" applyFill="1" applyBorder="1" applyAlignment="1">
      <alignment horizontal="center"/>
    </xf>
    <xf numFmtId="0" fontId="17" fillId="35" borderId="0" xfId="0" applyFont="1" applyFill="1"/>
    <xf numFmtId="0" fontId="17" fillId="0" borderId="0" xfId="0" applyFont="1"/>
    <xf numFmtId="43" fontId="0" fillId="36" borderId="21" xfId="43" applyFont="1" applyFill="1" applyBorder="1"/>
    <xf numFmtId="0" fontId="0" fillId="0" borderId="11" xfId="0" applyBorder="1"/>
    <xf numFmtId="165" fontId="22" fillId="0" borderId="0" xfId="43" applyNumberFormat="1" applyFont="1" applyFill="1"/>
    <xf numFmtId="165" fontId="0" fillId="0" borderId="0" xfId="43" applyNumberFormat="1" applyFont="1" applyFill="1"/>
    <xf numFmtId="165" fontId="0" fillId="33" borderId="10" xfId="43" applyNumberFormat="1" applyFont="1" applyFill="1" applyBorder="1"/>
    <xf numFmtId="0" fontId="21" fillId="39" borderId="10" xfId="0" applyFont="1" applyFill="1" applyBorder="1"/>
    <xf numFmtId="165" fontId="0" fillId="39" borderId="10" xfId="43" applyNumberFormat="1" applyFont="1" applyFill="1" applyBorder="1"/>
    <xf numFmtId="0" fontId="21" fillId="36" borderId="26" xfId="0" applyFont="1" applyFill="1" applyBorder="1"/>
    <xf numFmtId="165" fontId="0" fillId="36" borderId="26" xfId="43" applyNumberFormat="1" applyFont="1" applyFill="1" applyBorder="1"/>
    <xf numFmtId="165" fontId="0" fillId="33" borderId="12" xfId="43" applyNumberFormat="1" applyFont="1" applyFill="1" applyBorder="1"/>
    <xf numFmtId="165" fontId="0" fillId="36" borderId="10" xfId="43" applyNumberFormat="1" applyFont="1" applyFill="1" applyBorder="1"/>
    <xf numFmtId="165" fontId="0" fillId="0" borderId="0" xfId="43" applyNumberFormat="1" applyFont="1" applyFill="1" applyBorder="1"/>
    <xf numFmtId="43" fontId="0" fillId="0" borderId="0" xfId="43" applyNumberFormat="1" applyFont="1" applyFill="1"/>
    <xf numFmtId="165" fontId="0" fillId="0" borderId="0" xfId="43" applyNumberFormat="1" applyFont="1"/>
    <xf numFmtId="0" fontId="20" fillId="33" borderId="12" xfId="42" applyFont="1" applyFill="1" applyBorder="1" applyAlignment="1">
      <alignment horizontal="left"/>
    </xf>
    <xf numFmtId="10" fontId="14" fillId="0" borderId="14" xfId="44" applyNumberFormat="1" applyFont="1" applyFill="1" applyBorder="1"/>
    <xf numFmtId="165" fontId="22" fillId="36" borderId="10" xfId="43" applyNumberFormat="1" applyFont="1" applyFill="1" applyBorder="1"/>
    <xf numFmtId="43" fontId="0" fillId="41" borderId="10" xfId="43" applyFont="1" applyFill="1" applyBorder="1"/>
    <xf numFmtId="43" fontId="0" fillId="42" borderId="10" xfId="43" applyFont="1" applyFill="1" applyBorder="1"/>
    <xf numFmtId="0" fontId="20" fillId="41" borderId="10" xfId="42" applyFont="1" applyFill="1" applyBorder="1" applyAlignment="1">
      <alignment horizontal="left"/>
    </xf>
    <xf numFmtId="43" fontId="0" fillId="0" borderId="0" xfId="0" applyNumberFormat="1" applyFill="1"/>
    <xf numFmtId="43" fontId="22" fillId="0" borderId="0" xfId="43" applyNumberFormat="1" applyFont="1" applyFill="1"/>
    <xf numFmtId="43" fontId="0" fillId="33" borderId="10" xfId="43" applyNumberFormat="1" applyFont="1" applyFill="1" applyBorder="1"/>
    <xf numFmtId="43" fontId="0" fillId="39" borderId="10" xfId="43" applyNumberFormat="1" applyFont="1" applyFill="1" applyBorder="1"/>
    <xf numFmtId="43" fontId="0" fillId="36" borderId="26" xfId="43" applyNumberFormat="1" applyFont="1" applyFill="1" applyBorder="1"/>
    <xf numFmtId="43" fontId="0" fillId="33" borderId="12" xfId="43" applyNumberFormat="1" applyFont="1" applyFill="1" applyBorder="1"/>
    <xf numFmtId="43" fontId="0" fillId="36" borderId="10" xfId="43" applyNumberFormat="1" applyFont="1" applyFill="1" applyBorder="1"/>
    <xf numFmtId="43" fontId="14" fillId="0" borderId="0" xfId="43" applyNumberFormat="1" applyFont="1" applyFill="1"/>
    <xf numFmtId="43" fontId="0" fillId="0" borderId="0" xfId="43" applyNumberFormat="1" applyFont="1" applyFill="1" applyBorder="1"/>
    <xf numFmtId="43" fontId="0" fillId="0" borderId="0" xfId="43" applyNumberFormat="1" applyFont="1"/>
    <xf numFmtId="43" fontId="0" fillId="0" borderId="0" xfId="0" applyNumberFormat="1"/>
    <xf numFmtId="43" fontId="16" fillId="0" borderId="0" xfId="0" applyNumberFormat="1" applyFont="1"/>
    <xf numFmtId="165" fontId="16" fillId="0" borderId="0" xfId="0" applyNumberFormat="1" applyFont="1"/>
    <xf numFmtId="43" fontId="0" fillId="0" borderId="14" xfId="43" applyNumberFormat="1" applyFont="1" applyFill="1" applyBorder="1"/>
    <xf numFmtId="10" fontId="0" fillId="0" borderId="14" xfId="43" applyNumberFormat="1" applyFont="1" applyFill="1" applyBorder="1"/>
    <xf numFmtId="10" fontId="0" fillId="33" borderId="17" xfId="44" applyNumberFormat="1" applyFont="1" applyFill="1" applyBorder="1"/>
    <xf numFmtId="10" fontId="0" fillId="36" borderId="16" xfId="44" applyNumberFormat="1" applyFont="1" applyFill="1" applyBorder="1"/>
    <xf numFmtId="10" fontId="0" fillId="33" borderId="16" xfId="44" applyNumberFormat="1" applyFont="1" applyFill="1" applyBorder="1"/>
    <xf numFmtId="10" fontId="0" fillId="39" borderId="16" xfId="43" applyNumberFormat="1" applyFont="1" applyFill="1" applyBorder="1"/>
    <xf numFmtId="10" fontId="0" fillId="36" borderId="27" xfId="44" applyNumberFormat="1" applyFont="1" applyFill="1" applyBorder="1"/>
    <xf numFmtId="10" fontId="21" fillId="34" borderId="15" xfId="0" applyNumberFormat="1" applyFont="1" applyFill="1" applyBorder="1" applyAlignment="1">
      <alignment horizontal="center"/>
    </xf>
    <xf numFmtId="10" fontId="0" fillId="0" borderId="14" xfId="0" applyNumberFormat="1" applyFill="1" applyBorder="1"/>
    <xf numFmtId="10" fontId="0" fillId="33" borderId="16" xfId="43" applyNumberFormat="1" applyFont="1" applyFill="1" applyBorder="1"/>
    <xf numFmtId="10" fontId="0" fillId="0" borderId="14" xfId="43" applyNumberFormat="1" applyFont="1" applyBorder="1"/>
    <xf numFmtId="10" fontId="0" fillId="0" borderId="14" xfId="0" applyNumberFormat="1" applyBorder="1"/>
    <xf numFmtId="10" fontId="14" fillId="37" borderId="17" xfId="44" applyNumberFormat="1" applyFont="1" applyFill="1" applyBorder="1"/>
    <xf numFmtId="10" fontId="14" fillId="36" borderId="16" xfId="44" applyNumberFormat="1" applyFont="1" applyFill="1" applyBorder="1"/>
    <xf numFmtId="10" fontId="14" fillId="33" borderId="16" xfId="44" applyNumberFormat="1" applyFont="1" applyFill="1" applyBorder="1"/>
    <xf numFmtId="10" fontId="0" fillId="0" borderId="14" xfId="44" applyNumberFormat="1" applyFont="1" applyFill="1" applyBorder="1"/>
    <xf numFmtId="10" fontId="14" fillId="41" borderId="16" xfId="44" applyNumberFormat="1" applyFont="1" applyFill="1" applyBorder="1"/>
    <xf numFmtId="10" fontId="0" fillId="40" borderId="16" xfId="44" applyNumberFormat="1" applyFont="1" applyFill="1" applyBorder="1"/>
    <xf numFmtId="0" fontId="21" fillId="43" borderId="13" xfId="0" applyFont="1" applyFill="1" applyBorder="1" applyAlignment="1">
      <alignment horizontal="center"/>
    </xf>
    <xf numFmtId="10" fontId="21" fillId="43" borderId="15" xfId="0" applyNumberFormat="1" applyFont="1" applyFill="1" applyBorder="1" applyAlignment="1">
      <alignment horizontal="center"/>
    </xf>
    <xf numFmtId="0" fontId="0" fillId="43" borderId="0" xfId="0" applyFill="1"/>
    <xf numFmtId="10" fontId="0" fillId="43" borderId="14" xfId="0" applyNumberFormat="1" applyFill="1" applyBorder="1"/>
    <xf numFmtId="165" fontId="22" fillId="43" borderId="0" xfId="43" applyNumberFormat="1" applyFont="1" applyFill="1"/>
    <xf numFmtId="165" fontId="0" fillId="43" borderId="0" xfId="43" applyNumberFormat="1" applyFont="1" applyFill="1"/>
    <xf numFmtId="10" fontId="0" fillId="43" borderId="14" xfId="43" applyNumberFormat="1" applyFont="1" applyFill="1" applyBorder="1"/>
    <xf numFmtId="10" fontId="14" fillId="43" borderId="14" xfId="44" applyNumberFormat="1" applyFont="1" applyFill="1" applyBorder="1"/>
    <xf numFmtId="165" fontId="0" fillId="43" borderId="10" xfId="43" applyNumberFormat="1" applyFont="1" applyFill="1" applyBorder="1"/>
    <xf numFmtId="10" fontId="0" fillId="43" borderId="16" xfId="44" applyNumberFormat="1" applyFont="1" applyFill="1" applyBorder="1"/>
    <xf numFmtId="10" fontId="0" fillId="43" borderId="16" xfId="43" applyNumberFormat="1" applyFont="1" applyFill="1" applyBorder="1"/>
    <xf numFmtId="165" fontId="0" fillId="43" borderId="26" xfId="43" applyNumberFormat="1" applyFont="1" applyFill="1" applyBorder="1"/>
    <xf numFmtId="10" fontId="0" fillId="43" borderId="27" xfId="44" applyNumberFormat="1" applyFont="1" applyFill="1" applyBorder="1"/>
    <xf numFmtId="165" fontId="0" fillId="43" borderId="12" xfId="43" applyNumberFormat="1" applyFont="1" applyFill="1" applyBorder="1"/>
    <xf numFmtId="10" fontId="0" fillId="43" borderId="17" xfId="44" applyNumberFormat="1" applyFont="1" applyFill="1" applyBorder="1"/>
    <xf numFmtId="165" fontId="0" fillId="43" borderId="0" xfId="43" applyNumberFormat="1" applyFont="1" applyFill="1" applyBorder="1"/>
    <xf numFmtId="0" fontId="21" fillId="44" borderId="13" xfId="0" applyFont="1" applyFill="1" applyBorder="1" applyAlignment="1">
      <alignment horizontal="center"/>
    </xf>
    <xf numFmtId="10" fontId="21" fillId="44" borderId="15" xfId="0" applyNumberFormat="1" applyFont="1" applyFill="1" applyBorder="1" applyAlignment="1">
      <alignment horizontal="center"/>
    </xf>
    <xf numFmtId="0" fontId="0" fillId="44" borderId="0" xfId="0" applyFill="1"/>
    <xf numFmtId="10" fontId="0" fillId="44" borderId="14" xfId="0" applyNumberFormat="1" applyFill="1" applyBorder="1"/>
    <xf numFmtId="165" fontId="22" fillId="44" borderId="0" xfId="43" applyNumberFormat="1" applyFont="1" applyFill="1"/>
    <xf numFmtId="165" fontId="0" fillId="44" borderId="0" xfId="43" applyNumberFormat="1" applyFont="1" applyFill="1"/>
    <xf numFmtId="10" fontId="0" fillId="44" borderId="14" xfId="43" applyNumberFormat="1" applyFont="1" applyFill="1" applyBorder="1"/>
    <xf numFmtId="10" fontId="14" fillId="44" borderId="14" xfId="44" applyNumberFormat="1" applyFont="1" applyFill="1" applyBorder="1"/>
    <xf numFmtId="165" fontId="0" fillId="44" borderId="10" xfId="43" applyNumberFormat="1" applyFont="1" applyFill="1" applyBorder="1"/>
    <xf numFmtId="10" fontId="0" fillId="44" borderId="16" xfId="44" applyNumberFormat="1" applyFont="1" applyFill="1" applyBorder="1"/>
    <xf numFmtId="10" fontId="0" fillId="44" borderId="16" xfId="43" applyNumberFormat="1" applyFont="1" applyFill="1" applyBorder="1"/>
    <xf numFmtId="165" fontId="0" fillId="44" borderId="26" xfId="43" applyNumberFormat="1" applyFont="1" applyFill="1" applyBorder="1"/>
    <xf numFmtId="10" fontId="0" fillId="44" borderId="27" xfId="44" applyNumberFormat="1" applyFont="1" applyFill="1" applyBorder="1"/>
    <xf numFmtId="165" fontId="0" fillId="44" borderId="12" xfId="43" applyNumberFormat="1" applyFont="1" applyFill="1" applyBorder="1"/>
    <xf numFmtId="10" fontId="0" fillId="44" borderId="17" xfId="44" applyNumberFormat="1" applyFont="1" applyFill="1" applyBorder="1"/>
    <xf numFmtId="165" fontId="0" fillId="44" borderId="0" xfId="43" applyNumberFormat="1" applyFont="1" applyFill="1" applyBorder="1"/>
    <xf numFmtId="10" fontId="21" fillId="44" borderId="15" xfId="44" applyNumberFormat="1" applyFont="1" applyFill="1" applyBorder="1" applyAlignment="1">
      <alignment horizontal="center"/>
    </xf>
    <xf numFmtId="10" fontId="0" fillId="44" borderId="14" xfId="44" applyNumberFormat="1" applyFont="1" applyFill="1" applyBorder="1"/>
    <xf numFmtId="10" fontId="14" fillId="44" borderId="17" xfId="44" applyNumberFormat="1" applyFont="1" applyFill="1" applyBorder="1"/>
    <xf numFmtId="10" fontId="21" fillId="43" borderId="15" xfId="44" applyNumberFormat="1" applyFont="1" applyFill="1" applyBorder="1" applyAlignment="1">
      <alignment horizontal="center"/>
    </xf>
    <xf numFmtId="10" fontId="0" fillId="43" borderId="14" xfId="44" applyNumberFormat="1" applyFont="1" applyFill="1" applyBorder="1"/>
    <xf numFmtId="10" fontId="14" fillId="43" borderId="17" xfId="44" applyNumberFormat="1" applyFont="1" applyFill="1" applyBorder="1"/>
    <xf numFmtId="165" fontId="22" fillId="44" borderId="10" xfId="43" applyNumberFormat="1" applyFont="1" applyFill="1" applyBorder="1"/>
    <xf numFmtId="165" fontId="22" fillId="43" borderId="0" xfId="43" applyNumberFormat="1" applyFont="1" applyFill="1" applyBorder="1"/>
    <xf numFmtId="165" fontId="14" fillId="36" borderId="10" xfId="43" applyNumberFormat="1" applyFont="1" applyFill="1" applyBorder="1"/>
    <xf numFmtId="9" fontId="14" fillId="40" borderId="14" xfId="43" applyNumberFormat="1" applyFont="1" applyFill="1" applyBorder="1"/>
    <xf numFmtId="0" fontId="0" fillId="40" borderId="0" xfId="0" applyFill="1"/>
    <xf numFmtId="0" fontId="19" fillId="0" borderId="0" xfId="42" applyFont="1" applyFill="1" applyAlignment="1">
      <alignment horizontal="left"/>
    </xf>
    <xf numFmtId="0" fontId="0" fillId="35" borderId="11" xfId="0" applyFill="1" applyBorder="1" applyAlignment="1"/>
    <xf numFmtId="0" fontId="16" fillId="0" borderId="0" xfId="0" applyFont="1"/>
    <xf numFmtId="165" fontId="0" fillId="0" borderId="11" xfId="43" applyNumberFormat="1" applyFont="1" applyFill="1" applyBorder="1"/>
    <xf numFmtId="10" fontId="14" fillId="0" borderId="28" xfId="44" applyNumberFormat="1" applyFont="1" applyFill="1" applyBorder="1"/>
    <xf numFmtId="0" fontId="0" fillId="0" borderId="0" xfId="0" applyFill="1" applyBorder="1"/>
    <xf numFmtId="0" fontId="0" fillId="0" borderId="0" xfId="0" applyBorder="1"/>
    <xf numFmtId="43" fontId="0" fillId="0" borderId="0" xfId="43" applyFont="1" applyBorder="1"/>
    <xf numFmtId="10" fontId="14" fillId="0" borderId="0" xfId="44" applyNumberFormat="1" applyFont="1" applyBorder="1"/>
    <xf numFmtId="10" fontId="0" fillId="0" borderId="0" xfId="44" applyNumberFormat="1" applyFont="1" applyBorder="1"/>
    <xf numFmtId="10" fontId="0" fillId="0" borderId="0" xfId="44" applyNumberFormat="1" applyFont="1" applyFill="1" applyBorder="1"/>
    <xf numFmtId="0" fontId="20" fillId="0" borderId="0" xfId="42" applyFont="1" applyFill="1" applyBorder="1" applyAlignment="1">
      <alignment horizontal="left"/>
    </xf>
    <xf numFmtId="0" fontId="0" fillId="36" borderId="10" xfId="0" applyFill="1" applyBorder="1"/>
    <xf numFmtId="0" fontId="0" fillId="35" borderId="10" xfId="0" applyFill="1" applyBorder="1"/>
    <xf numFmtId="0" fontId="0" fillId="38" borderId="10" xfId="0" applyFill="1" applyBorder="1"/>
    <xf numFmtId="10" fontId="0" fillId="36" borderId="16" xfId="0" applyNumberFormat="1" applyFill="1" applyBorder="1"/>
    <xf numFmtId="10" fontId="14" fillId="0" borderId="0" xfId="44" applyNumberFormat="1" applyFont="1" applyFill="1" applyBorder="1"/>
    <xf numFmtId="165" fontId="0" fillId="0" borderId="0" xfId="43" applyNumberFormat="1" applyFont="1" applyBorder="1"/>
    <xf numFmtId="10" fontId="14" fillId="0" borderId="30" xfId="44" applyNumberFormat="1" applyFont="1" applyFill="1" applyBorder="1"/>
    <xf numFmtId="0" fontId="19" fillId="0" borderId="0" xfId="42" applyFont="1" applyBorder="1" applyAlignment="1">
      <alignment horizontal="left"/>
    </xf>
    <xf numFmtId="0" fontId="16" fillId="36" borderId="10" xfId="0" applyFont="1" applyFill="1" applyBorder="1"/>
    <xf numFmtId="43" fontId="0" fillId="35" borderId="10" xfId="0" applyNumberFormat="1" applyFill="1" applyBorder="1"/>
    <xf numFmtId="10" fontId="0" fillId="35" borderId="16" xfId="0" applyNumberFormat="1" applyFill="1" applyBorder="1"/>
    <xf numFmtId="10" fontId="0" fillId="35" borderId="16" xfId="44" applyNumberFormat="1" applyFont="1" applyFill="1" applyBorder="1"/>
    <xf numFmtId="43" fontId="0" fillId="35" borderId="10" xfId="43" applyFont="1" applyFill="1" applyBorder="1"/>
    <xf numFmtId="0" fontId="25" fillId="38" borderId="10" xfId="42" applyFont="1" applyFill="1" applyBorder="1" applyAlignment="1">
      <alignment horizontal="left"/>
    </xf>
    <xf numFmtId="10" fontId="14" fillId="35" borderId="16" xfId="44" applyNumberFormat="1" applyFont="1" applyFill="1" applyBorder="1"/>
    <xf numFmtId="165" fontId="0" fillId="38" borderId="10" xfId="0" applyNumberFormat="1" applyFill="1" applyBorder="1"/>
    <xf numFmtId="165" fontId="0" fillId="36" borderId="10" xfId="0" applyNumberFormat="1" applyFill="1" applyBorder="1"/>
    <xf numFmtId="43" fontId="0" fillId="36" borderId="10" xfId="0" applyNumberFormat="1" applyFill="1" applyBorder="1"/>
    <xf numFmtId="0" fontId="0" fillId="42" borderId="10" xfId="0" applyFill="1" applyBorder="1"/>
    <xf numFmtId="165" fontId="0" fillId="42" borderId="10" xfId="0" applyNumberFormat="1" applyFill="1" applyBorder="1"/>
    <xf numFmtId="10" fontId="0" fillId="43" borderId="0" xfId="0" applyNumberFormat="1" applyFill="1" applyBorder="1"/>
    <xf numFmtId="10" fontId="0" fillId="38" borderId="10" xfId="0" applyNumberFormat="1" applyFill="1" applyBorder="1"/>
    <xf numFmtId="10" fontId="0" fillId="38" borderId="10" xfId="44" applyNumberFormat="1" applyFont="1" applyFill="1" applyBorder="1"/>
    <xf numFmtId="10" fontId="14" fillId="0" borderId="16" xfId="44" applyNumberFormat="1" applyFont="1" applyFill="1" applyBorder="1"/>
    <xf numFmtId="165" fontId="0" fillId="41" borderId="10" xfId="43" applyNumberFormat="1" applyFont="1" applyFill="1" applyBorder="1"/>
    <xf numFmtId="165" fontId="22" fillId="35" borderId="10" xfId="43" applyNumberFormat="1" applyFont="1" applyFill="1" applyBorder="1"/>
    <xf numFmtId="43" fontId="22" fillId="35" borderId="21" xfId="43" applyFont="1" applyFill="1" applyBorder="1"/>
    <xf numFmtId="43" fontId="0" fillId="0" borderId="0" xfId="0" applyNumberFormat="1" applyBorder="1"/>
    <xf numFmtId="43" fontId="0" fillId="0" borderId="0" xfId="0" applyNumberFormat="1" applyFill="1" applyBorder="1"/>
    <xf numFmtId="43" fontId="0" fillId="33" borderId="10" xfId="0" applyNumberFormat="1" applyFill="1" applyBorder="1"/>
    <xf numFmtId="43" fontId="0" fillId="42" borderId="10" xfId="0" applyNumberFormat="1" applyFill="1" applyBorder="1"/>
    <xf numFmtId="10" fontId="14" fillId="42" borderId="16" xfId="0" applyNumberFormat="1" applyFont="1" applyFill="1" applyBorder="1"/>
    <xf numFmtId="165" fontId="22" fillId="42" borderId="10" xfId="0" applyNumberFormat="1" applyFont="1" applyFill="1" applyBorder="1"/>
    <xf numFmtId="43" fontId="21" fillId="34" borderId="13" xfId="0" applyNumberFormat="1" applyFont="1" applyFill="1" applyBorder="1" applyAlignment="1">
      <alignment horizontal="center"/>
    </xf>
    <xf numFmtId="43" fontId="0" fillId="41" borderId="10" xfId="43" applyNumberFormat="1" applyFont="1" applyFill="1" applyBorder="1"/>
    <xf numFmtId="43" fontId="0" fillId="0" borderId="29" xfId="43" applyNumberFormat="1" applyFont="1" applyFill="1" applyBorder="1"/>
    <xf numFmtId="43" fontId="22" fillId="0" borderId="0" xfId="43" applyNumberFormat="1" applyFont="1" applyFill="1" applyBorder="1"/>
    <xf numFmtId="43" fontId="0" fillId="38" borderId="10" xfId="0" applyNumberFormat="1" applyFill="1" applyBorder="1"/>
    <xf numFmtId="43" fontId="0" fillId="0" borderId="0" xfId="43" applyNumberFormat="1" applyFont="1" applyBorder="1"/>
    <xf numFmtId="0" fontId="0" fillId="40" borderId="0" xfId="0" applyFill="1" applyBorder="1"/>
    <xf numFmtId="0" fontId="16" fillId="40" borderId="0" xfId="0" applyFont="1" applyFill="1" applyBorder="1"/>
    <xf numFmtId="43" fontId="0" fillId="40" borderId="0" xfId="43" applyFont="1" applyFill="1" applyBorder="1"/>
    <xf numFmtId="10" fontId="14" fillId="40" borderId="0" xfId="44" applyNumberFormat="1" applyFont="1" applyFill="1" applyBorder="1"/>
    <xf numFmtId="10" fontId="0" fillId="40" borderId="0" xfId="44" applyNumberFormat="1" applyFont="1" applyFill="1" applyBorder="1"/>
    <xf numFmtId="43" fontId="21" fillId="45" borderId="20" xfId="43" applyFont="1" applyFill="1" applyBorder="1" applyAlignment="1">
      <alignment horizontal="center"/>
    </xf>
    <xf numFmtId="10" fontId="21" fillId="45" borderId="15" xfId="44" applyNumberFormat="1" applyFont="1" applyFill="1" applyBorder="1" applyAlignment="1">
      <alignment horizontal="center"/>
    </xf>
    <xf numFmtId="43" fontId="0" fillId="38" borderId="10" xfId="43" applyFont="1" applyFill="1" applyBorder="1"/>
    <xf numFmtId="43" fontId="0" fillId="39" borderId="10" xfId="43" applyFont="1" applyFill="1" applyBorder="1"/>
    <xf numFmtId="43" fontId="0" fillId="36" borderId="26" xfId="43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3" fontId="0" fillId="46" borderId="10" xfId="43" applyFont="1" applyFill="1" applyBorder="1"/>
    <xf numFmtId="43" fontId="0" fillId="47" borderId="10" xfId="43" applyFont="1" applyFill="1" applyBorder="1"/>
    <xf numFmtId="43" fontId="0" fillId="47" borderId="10" xfId="0" applyNumberFormat="1" applyFill="1" applyBorder="1"/>
    <xf numFmtId="2" fontId="0" fillId="0" borderId="0" xfId="44" applyNumberFormat="1" applyFont="1" applyFill="1" applyBorder="1"/>
    <xf numFmtId="165" fontId="14" fillId="0" borderId="14" xfId="44" applyNumberFormat="1" applyFont="1" applyFill="1" applyBorder="1"/>
    <xf numFmtId="43" fontId="14" fillId="0" borderId="14" xfId="44" applyNumberFormat="1" applyFont="1" applyFill="1" applyBorder="1"/>
    <xf numFmtId="43" fontId="0" fillId="38" borderId="10" xfId="44" applyNumberFormat="1" applyFont="1" applyFill="1" applyBorder="1"/>
    <xf numFmtId="0" fontId="0" fillId="0" borderId="12" xfId="0" applyBorder="1"/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3" fillId="35" borderId="18" xfId="0" applyFont="1" applyFill="1" applyBorder="1" applyAlignment="1">
      <alignment horizontal="center"/>
    </xf>
    <xf numFmtId="0" fontId="13" fillId="35" borderId="28" xfId="0" applyFont="1" applyFill="1" applyBorder="1" applyAlignment="1">
      <alignment horizontal="center"/>
    </xf>
    <xf numFmtId="165" fontId="16" fillId="40" borderId="0" xfId="0" applyNumberFormat="1" applyFont="1" applyFill="1" applyAlignment="1">
      <alignment horizontal="center"/>
    </xf>
    <xf numFmtId="10" fontId="0" fillId="0" borderId="0" xfId="0" applyNumberFormat="1" applyFill="1"/>
    <xf numFmtId="165" fontId="0" fillId="38" borderId="10" xfId="44" applyNumberFormat="1" applyFont="1" applyFill="1" applyBorder="1"/>
    <xf numFmtId="43" fontId="0" fillId="35" borderId="16" xfId="0" applyNumberFormat="1" applyFill="1" applyBorder="1"/>
    <xf numFmtId="165" fontId="0" fillId="35" borderId="16" xfId="0" applyNumberFormat="1" applyFill="1" applyBorder="1"/>
    <xf numFmtId="0" fontId="0" fillId="0" borderId="10" xfId="0" applyBorder="1"/>
    <xf numFmtId="0" fontId="26" fillId="0" borderId="0" xfId="0" applyFont="1" applyFill="1" applyBorder="1" applyAlignment="1">
      <alignment horizontal="center"/>
    </xf>
    <xf numFmtId="0" fontId="21" fillId="43" borderId="0" xfId="0" applyFont="1" applyFill="1" applyBorder="1" applyAlignment="1">
      <alignment horizontal="center"/>
    </xf>
    <xf numFmtId="10" fontId="21" fillId="43" borderId="0" xfId="0" applyNumberFormat="1" applyFont="1" applyFill="1" applyBorder="1" applyAlignment="1">
      <alignment horizontal="center"/>
    </xf>
    <xf numFmtId="10" fontId="0" fillId="43" borderId="0" xfId="43" applyNumberFormat="1" applyFont="1" applyFill="1" applyBorder="1"/>
    <xf numFmtId="10" fontId="14" fillId="43" borderId="0" xfId="44" applyNumberFormat="1" applyFont="1" applyFill="1" applyBorder="1"/>
    <xf numFmtId="10" fontId="0" fillId="43" borderId="0" xfId="44" applyNumberFormat="1" applyFont="1" applyFill="1" applyBorder="1"/>
    <xf numFmtId="165" fontId="14" fillId="43" borderId="0" xfId="44" applyNumberFormat="1" applyFont="1" applyFill="1" applyBorder="1"/>
    <xf numFmtId="9" fontId="22" fillId="40" borderId="0" xfId="43" applyNumberFormat="1" applyFont="1" applyFill="1" applyBorder="1" applyAlignment="1">
      <alignment horizontal="center"/>
    </xf>
    <xf numFmtId="10" fontId="0" fillId="43" borderId="21" xfId="44" applyNumberFormat="1" applyFont="1" applyFill="1" applyBorder="1"/>
    <xf numFmtId="43" fontId="0" fillId="0" borderId="10" xfId="0" applyNumberFormat="1" applyFill="1" applyBorder="1"/>
    <xf numFmtId="10" fontId="0" fillId="0" borderId="10" xfId="0" applyNumberFormat="1" applyFill="1" applyBorder="1"/>
    <xf numFmtId="43" fontId="0" fillId="35" borderId="0" xfId="0" applyNumberFormat="1" applyFill="1" applyAlignment="1">
      <alignment horizontal="center"/>
    </xf>
    <xf numFmtId="43" fontId="0" fillId="0" borderId="0" xfId="0" applyNumberFormat="1" applyFill="1" applyAlignment="1">
      <alignment horizontal="left"/>
    </xf>
    <xf numFmtId="10" fontId="0" fillId="43" borderId="10" xfId="44" applyNumberFormat="1" applyFont="1" applyFill="1" applyBorder="1"/>
    <xf numFmtId="10" fontId="14" fillId="42" borderId="21" xfId="0" applyNumberFormat="1" applyFont="1" applyFill="1" applyBorder="1"/>
    <xf numFmtId="10" fontId="0" fillId="33" borderId="21" xfId="44" applyNumberFormat="1" applyFont="1" applyFill="1" applyBorder="1"/>
    <xf numFmtId="10" fontId="0" fillId="36" borderId="21" xfId="0" applyNumberFormat="1" applyFill="1" applyBorder="1"/>
    <xf numFmtId="10" fontId="14" fillId="0" borderId="21" xfId="44" applyNumberFormat="1" applyFont="1" applyFill="1" applyBorder="1"/>
    <xf numFmtId="43" fontId="0" fillId="35" borderId="11" xfId="0" applyNumberFormat="1" applyFill="1" applyBorder="1" applyAlignment="1"/>
    <xf numFmtId="43" fontId="0" fillId="40" borderId="0" xfId="0" applyNumberFormat="1" applyFill="1"/>
    <xf numFmtId="0" fontId="25" fillId="0" borderId="0" xfId="42" applyFont="1" applyAlignment="1">
      <alignment horizontal="left"/>
    </xf>
    <xf numFmtId="43" fontId="0" fillId="0" borderId="22" xfId="43" applyFont="1" applyFill="1" applyBorder="1"/>
    <xf numFmtId="10" fontId="14" fillId="0" borderId="17" xfId="44" applyNumberFormat="1" applyFont="1" applyFill="1" applyBorder="1"/>
    <xf numFmtId="0" fontId="14" fillId="45" borderId="13" xfId="0" applyFont="1" applyFill="1" applyBorder="1"/>
    <xf numFmtId="0" fontId="21" fillId="45" borderId="13" xfId="0" applyFont="1" applyFill="1" applyBorder="1" applyAlignment="1">
      <alignment horizontal="center"/>
    </xf>
    <xf numFmtId="0" fontId="20" fillId="48" borderId="10" xfId="42" applyFont="1" applyFill="1" applyBorder="1" applyAlignment="1">
      <alignment horizontal="left"/>
    </xf>
    <xf numFmtId="43" fontId="0" fillId="48" borderId="21" xfId="43" applyFont="1" applyFill="1" applyBorder="1"/>
    <xf numFmtId="10" fontId="14" fillId="48" borderId="16" xfId="44" applyNumberFormat="1" applyFont="1" applyFill="1" applyBorder="1"/>
    <xf numFmtId="165" fontId="0" fillId="48" borderId="10" xfId="43" applyNumberFormat="1" applyFont="1" applyFill="1" applyBorder="1"/>
    <xf numFmtId="0" fontId="20" fillId="37" borderId="10" xfId="42" applyFont="1" applyFill="1" applyBorder="1" applyAlignment="1">
      <alignment horizontal="left"/>
    </xf>
    <xf numFmtId="43" fontId="0" fillId="37" borderId="21" xfId="43" applyFont="1" applyFill="1" applyBorder="1"/>
    <xf numFmtId="10" fontId="14" fillId="37" borderId="16" xfId="44" applyNumberFormat="1" applyFont="1" applyFill="1" applyBorder="1"/>
    <xf numFmtId="165" fontId="0" fillId="37" borderId="10" xfId="43" applyNumberFormat="1" applyFont="1" applyFill="1" applyBorder="1"/>
    <xf numFmtId="0" fontId="20" fillId="37" borderId="12" xfId="42" applyFont="1" applyFill="1" applyBorder="1" applyAlignment="1">
      <alignment horizontal="left"/>
    </xf>
    <xf numFmtId="43" fontId="0" fillId="37" borderId="22" xfId="43" applyFont="1" applyFill="1" applyBorder="1"/>
    <xf numFmtId="43" fontId="14" fillId="36" borderId="21" xfId="43" applyFont="1" applyFill="1" applyBorder="1"/>
    <xf numFmtId="43" fontId="22" fillId="36" borderId="21" xfId="43" applyFont="1" applyFill="1" applyBorder="1"/>
    <xf numFmtId="165" fontId="22" fillId="35" borderId="21" xfId="43" applyNumberFormat="1" applyFont="1" applyFill="1" applyBorder="1"/>
    <xf numFmtId="0" fontId="20" fillId="48" borderId="10" xfId="0" applyFont="1" applyFill="1" applyBorder="1" applyAlignment="1">
      <alignment horizontal="left"/>
    </xf>
    <xf numFmtId="0" fontId="21" fillId="48" borderId="10" xfId="0" applyFont="1" applyFill="1" applyBorder="1"/>
    <xf numFmtId="10" fontId="22" fillId="48" borderId="16" xfId="44" applyNumberFormat="1" applyFont="1" applyFill="1" applyBorder="1"/>
    <xf numFmtId="0" fontId="21" fillId="48" borderId="12" xfId="0" applyFont="1" applyFill="1" applyBorder="1"/>
    <xf numFmtId="43" fontId="0" fillId="48" borderId="22" xfId="43" applyFont="1" applyFill="1" applyBorder="1"/>
    <xf numFmtId="10" fontId="14" fillId="48" borderId="17" xfId="44" applyNumberFormat="1" applyFont="1" applyFill="1" applyBorder="1"/>
    <xf numFmtId="165" fontId="0" fillId="48" borderId="12" xfId="43" applyNumberFormat="1" applyFont="1" applyFill="1" applyBorder="1"/>
    <xf numFmtId="0" fontId="27" fillId="35" borderId="10" xfId="0" applyFont="1" applyFill="1" applyBorder="1"/>
    <xf numFmtId="166" fontId="14" fillId="48" borderId="16" xfId="44" applyNumberFormat="1" applyFont="1" applyFill="1" applyBorder="1"/>
    <xf numFmtId="9" fontId="0" fillId="33" borderId="16" xfId="44" applyNumberFormat="1" applyFont="1" applyFill="1" applyBorder="1"/>
    <xf numFmtId="0" fontId="0" fillId="0" borderId="0" xfId="0" applyFill="1" applyBorder="1" applyAlignment="1"/>
    <xf numFmtId="10" fontId="0" fillId="0" borderId="0" xfId="0" applyNumberFormat="1" applyFill="1" applyBorder="1"/>
    <xf numFmtId="165" fontId="0" fillId="0" borderId="0" xfId="0" applyNumberFormat="1" applyFill="1" applyBorder="1"/>
    <xf numFmtId="2" fontId="0" fillId="42" borderId="10" xfId="0" applyNumberFormat="1" applyFill="1" applyBorder="1"/>
    <xf numFmtId="2" fontId="0" fillId="38" borderId="10" xfId="0" applyNumberFormat="1" applyFill="1" applyBorder="1"/>
    <xf numFmtId="165" fontId="0" fillId="0" borderId="0" xfId="0" applyNumberFormat="1" applyFill="1"/>
    <xf numFmtId="43" fontId="17" fillId="0" borderId="0" xfId="43" applyFont="1"/>
    <xf numFmtId="168" fontId="0" fillId="0" borderId="0" xfId="43" applyNumberFormat="1" applyFont="1" applyFill="1"/>
    <xf numFmtId="43" fontId="22" fillId="43" borderId="0" xfId="43" applyNumberFormat="1" applyFont="1" applyFill="1"/>
    <xf numFmtId="0" fontId="0" fillId="49" borderId="14" xfId="0" applyFill="1" applyBorder="1"/>
    <xf numFmtId="43" fontId="0" fillId="49" borderId="14" xfId="0" applyNumberFormat="1" applyFill="1" applyBorder="1"/>
    <xf numFmtId="0" fontId="0" fillId="50" borderId="31" xfId="0" applyFill="1" applyBorder="1"/>
    <xf numFmtId="0" fontId="0" fillId="50" borderId="28" xfId="0" applyFill="1" applyBorder="1" applyAlignment="1"/>
    <xf numFmtId="0" fontId="0" fillId="50" borderId="14" xfId="0" applyFill="1" applyBorder="1"/>
    <xf numFmtId="43" fontId="0" fillId="50" borderId="14" xfId="0" applyNumberFormat="1" applyFill="1" applyBorder="1"/>
    <xf numFmtId="0" fontId="0" fillId="51" borderId="32" xfId="0" applyFill="1" applyBorder="1" applyAlignment="1"/>
    <xf numFmtId="0" fontId="0" fillId="51" borderId="31" xfId="0" applyFill="1" applyBorder="1"/>
    <xf numFmtId="165" fontId="0" fillId="51" borderId="31" xfId="43" applyNumberFormat="1" applyFont="1" applyFill="1" applyBorder="1"/>
    <xf numFmtId="43" fontId="0" fillId="51" borderId="31" xfId="0" applyNumberFormat="1" applyFill="1" applyBorder="1"/>
    <xf numFmtId="0" fontId="25" fillId="0" borderId="0" xfId="42" applyFont="1" applyFill="1" applyAlignment="1">
      <alignment horizontal="left"/>
    </xf>
    <xf numFmtId="10" fontId="14" fillId="0" borderId="14" xfId="44" applyNumberFormat="1" applyFont="1" applyBorder="1"/>
    <xf numFmtId="43" fontId="0" fillId="0" borderId="0" xfId="43" applyFont="1" applyFill="1" applyAlignment="1">
      <alignment horizontal="left"/>
    </xf>
    <xf numFmtId="4" fontId="0" fillId="0" borderId="19" xfId="0" applyNumberFormat="1" applyFont="1" applyBorder="1"/>
    <xf numFmtId="0" fontId="0" fillId="36" borderId="16" xfId="0" applyFill="1" applyBorder="1"/>
    <xf numFmtId="165" fontId="20" fillId="36" borderId="10" xfId="0" applyNumberFormat="1" applyFont="1" applyFill="1" applyBorder="1"/>
    <xf numFmtId="164" fontId="26" fillId="0" borderId="0" xfId="45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10" fontId="21" fillId="0" borderId="0" xfId="44" applyNumberFormat="1" applyFont="1" applyFill="1" applyBorder="1" applyAlignment="1">
      <alignment horizontal="center"/>
    </xf>
    <xf numFmtId="10" fontId="22" fillId="0" borderId="0" xfId="44" applyNumberFormat="1" applyFont="1" applyFill="1" applyBorder="1"/>
    <xf numFmtId="167" fontId="14" fillId="0" borderId="0" xfId="44" applyNumberFormat="1" applyFont="1" applyFill="1" applyBorder="1"/>
    <xf numFmtId="166" fontId="14" fillId="0" borderId="0" xfId="44" applyNumberFormat="1" applyFont="1" applyFill="1" applyBorder="1"/>
    <xf numFmtId="0" fontId="0" fillId="0" borderId="0" xfId="0"/>
    <xf numFmtId="168" fontId="22" fillId="43" borderId="0" xfId="43" applyNumberFormat="1" applyFont="1" applyFill="1"/>
    <xf numFmtId="43" fontId="0" fillId="51" borderId="31" xfId="43" applyFont="1" applyFill="1" applyBorder="1"/>
    <xf numFmtId="169" fontId="0" fillId="50" borderId="14" xfId="0" applyNumberFormat="1" applyFill="1" applyBorder="1"/>
    <xf numFmtId="43" fontId="28" fillId="0" borderId="0" xfId="43" applyNumberFormat="1" applyFont="1" applyFill="1"/>
    <xf numFmtId="10" fontId="16" fillId="0" borderId="0" xfId="44" applyNumberFormat="1" applyFont="1" applyFill="1" applyBorder="1"/>
    <xf numFmtId="43" fontId="16" fillId="44" borderId="25" xfId="0" applyNumberFormat="1" applyFont="1" applyFill="1" applyBorder="1"/>
    <xf numFmtId="10" fontId="16" fillId="0" borderId="34" xfId="0" applyNumberFormat="1" applyFont="1" applyBorder="1"/>
    <xf numFmtId="0" fontId="16" fillId="0" borderId="0" xfId="0" applyFont="1" applyFill="1" applyBorder="1"/>
    <xf numFmtId="10" fontId="16" fillId="0" borderId="34" xfId="0" applyNumberFormat="1" applyFont="1" applyBorder="1" applyAlignment="1">
      <alignment horizontal="center"/>
    </xf>
    <xf numFmtId="43" fontId="29" fillId="0" borderId="34" xfId="43" applyFont="1" applyBorder="1"/>
    <xf numFmtId="10" fontId="29" fillId="0" borderId="34" xfId="44" applyNumberFormat="1" applyFont="1" applyBorder="1" applyAlignment="1">
      <alignment horizontal="center"/>
    </xf>
    <xf numFmtId="43" fontId="29" fillId="0" borderId="34" xfId="43" applyFont="1" applyFill="1" applyBorder="1"/>
    <xf numFmtId="4" fontId="0" fillId="0" borderId="0" xfId="0" applyNumberFormat="1"/>
    <xf numFmtId="165" fontId="16" fillId="0" borderId="0" xfId="0" applyNumberFormat="1" applyFont="1" applyFill="1" applyBorder="1"/>
    <xf numFmtId="0" fontId="26" fillId="0" borderId="11" xfId="0" applyNumberFormat="1" applyFont="1" applyFill="1" applyBorder="1" applyAlignment="1">
      <alignment horizontal="center"/>
    </xf>
    <xf numFmtId="0" fontId="21" fillId="43" borderId="0" xfId="0" applyNumberFormat="1" applyFont="1" applyFill="1" applyBorder="1" applyAlignment="1">
      <alignment horizontal="center"/>
    </xf>
    <xf numFmtId="0" fontId="0" fillId="43" borderId="0" xfId="0" applyNumberFormat="1" applyFill="1" applyBorder="1"/>
    <xf numFmtId="0" fontId="14" fillId="40" borderId="0" xfId="43" applyNumberFormat="1" applyFont="1" applyFill="1" applyBorder="1"/>
    <xf numFmtId="0" fontId="0" fillId="43" borderId="0" xfId="43" applyNumberFormat="1" applyFont="1" applyFill="1" applyBorder="1"/>
    <xf numFmtId="0" fontId="14" fillId="43" borderId="0" xfId="44" applyNumberFormat="1" applyFont="1" applyFill="1" applyBorder="1"/>
    <xf numFmtId="0" fontId="0" fillId="43" borderId="0" xfId="44" applyNumberFormat="1" applyFont="1" applyFill="1" applyBorder="1"/>
    <xf numFmtId="0" fontId="0" fillId="33" borderId="0" xfId="43" applyNumberFormat="1" applyFont="1" applyFill="1" applyBorder="1"/>
    <xf numFmtId="0" fontId="0" fillId="38" borderId="0" xfId="44" applyNumberFormat="1" applyFont="1" applyFill="1" applyBorder="1"/>
    <xf numFmtId="0" fontId="0" fillId="33" borderId="0" xfId="44" applyNumberFormat="1" applyFont="1" applyFill="1" applyBorder="1"/>
    <xf numFmtId="0" fontId="0" fillId="35" borderId="0" xfId="0" applyNumberFormat="1" applyFill="1" applyBorder="1"/>
    <xf numFmtId="0" fontId="0" fillId="0" borderId="0" xfId="0" applyNumberFormat="1" applyFill="1" applyBorder="1"/>
    <xf numFmtId="165" fontId="0" fillId="35" borderId="10" xfId="0" applyNumberFormat="1" applyFill="1" applyBorder="1"/>
    <xf numFmtId="43" fontId="0" fillId="0" borderId="34" xfId="43" applyNumberFormat="1" applyFont="1" applyFill="1" applyBorder="1"/>
    <xf numFmtId="43" fontId="22" fillId="0" borderId="34" xfId="43" applyNumberFormat="1" applyFont="1" applyFill="1" applyBorder="1"/>
    <xf numFmtId="43" fontId="0" fillId="0" borderId="34" xfId="43" applyNumberFormat="1" applyFont="1" applyBorder="1"/>
    <xf numFmtId="165" fontId="22" fillId="44" borderId="19" xfId="43" applyNumberFormat="1" applyFont="1" applyFill="1" applyBorder="1"/>
    <xf numFmtId="165" fontId="0" fillId="44" borderId="21" xfId="43" applyNumberFormat="1" applyFont="1" applyFill="1" applyBorder="1"/>
    <xf numFmtId="165" fontId="0" fillId="44" borderId="22" xfId="43" applyNumberFormat="1" applyFont="1" applyFill="1" applyBorder="1"/>
    <xf numFmtId="165" fontId="0" fillId="44" borderId="19" xfId="43" applyNumberFormat="1" applyFont="1" applyFill="1" applyBorder="1"/>
    <xf numFmtId="165" fontId="0" fillId="44" borderId="0" xfId="0" applyNumberFormat="1" applyFill="1"/>
    <xf numFmtId="165" fontId="0" fillId="37" borderId="21" xfId="43" applyNumberFormat="1" applyFont="1" applyFill="1" applyBorder="1"/>
    <xf numFmtId="165" fontId="0" fillId="43" borderId="22" xfId="43" applyNumberFormat="1" applyFont="1" applyFill="1" applyBorder="1"/>
    <xf numFmtId="165" fontId="0" fillId="43" borderId="0" xfId="0" applyNumberFormat="1" applyFill="1"/>
    <xf numFmtId="9" fontId="0" fillId="36" borderId="27" xfId="44" applyNumberFormat="1" applyFont="1" applyFill="1" applyBorder="1"/>
    <xf numFmtId="43" fontId="22" fillId="52" borderId="0" xfId="43" applyFont="1" applyFill="1"/>
    <xf numFmtId="4" fontId="0" fillId="0" borderId="0" xfId="0" applyNumberFormat="1" applyFill="1" applyBorder="1"/>
    <xf numFmtId="4" fontId="0" fillId="0" borderId="0" xfId="0" applyNumberFormat="1" applyFont="1" applyBorder="1"/>
    <xf numFmtId="10" fontId="1" fillId="41" borderId="16" xfId="44" applyNumberFormat="1" applyFont="1" applyFill="1" applyBorder="1"/>
    <xf numFmtId="43" fontId="22" fillId="40" borderId="0" xfId="43" applyFont="1" applyFill="1" applyBorder="1" applyAlignment="1">
      <alignment horizontal="center"/>
    </xf>
    <xf numFmtId="4" fontId="14" fillId="43" borderId="0" xfId="44" applyNumberFormat="1" applyFont="1" applyFill="1" applyBorder="1"/>
    <xf numFmtId="43" fontId="0" fillId="43" borderId="21" xfId="43" applyFont="1" applyFill="1" applyBorder="1"/>
    <xf numFmtId="166" fontId="14" fillId="43" borderId="16" xfId="44" applyNumberFormat="1" applyFont="1" applyFill="1" applyBorder="1"/>
    <xf numFmtId="43" fontId="0" fillId="44" borderId="21" xfId="43" applyFont="1" applyFill="1" applyBorder="1"/>
    <xf numFmtId="10" fontId="14" fillId="44" borderId="16" xfId="44" applyNumberFormat="1" applyFont="1" applyFill="1" applyBorder="1"/>
    <xf numFmtId="0" fontId="0" fillId="0" borderId="31" xfId="0" applyFill="1" applyBorder="1"/>
    <xf numFmtId="43" fontId="0" fillId="0" borderId="14" xfId="0" applyNumberFormat="1" applyFill="1" applyBorder="1"/>
    <xf numFmtId="10" fontId="14" fillId="0" borderId="34" xfId="44" applyNumberFormat="1" applyFont="1" applyFill="1" applyBorder="1"/>
    <xf numFmtId="165" fontId="22" fillId="43" borderId="34" xfId="43" applyNumberFormat="1" applyFont="1" applyFill="1" applyBorder="1"/>
    <xf numFmtId="165" fontId="22" fillId="44" borderId="34" xfId="43" applyNumberFormat="1" applyFont="1" applyFill="1" applyBorder="1"/>
    <xf numFmtId="43" fontId="0" fillId="33" borderId="34" xfId="43" applyFont="1" applyFill="1" applyBorder="1"/>
    <xf numFmtId="10" fontId="14" fillId="33" borderId="34" xfId="44" applyNumberFormat="1" applyFont="1" applyFill="1" applyBorder="1"/>
    <xf numFmtId="165" fontId="0" fillId="43" borderId="34" xfId="43" applyNumberFormat="1" applyFont="1" applyFill="1" applyBorder="1"/>
    <xf numFmtId="4" fontId="0" fillId="0" borderId="22" xfId="0" applyNumberFormat="1" applyFont="1" applyBorder="1"/>
    <xf numFmtId="4" fontId="0" fillId="0" borderId="19" xfId="0" applyNumberFormat="1" applyFont="1" applyFill="1" applyBorder="1"/>
    <xf numFmtId="4" fontId="0" fillId="0" borderId="19" xfId="0" applyNumberFormat="1" applyFill="1" applyBorder="1" applyAlignment="1">
      <alignment horizontal="right"/>
    </xf>
    <xf numFmtId="4" fontId="0" fillId="0" borderId="18" xfId="0" applyNumberFormat="1" applyFont="1" applyBorder="1"/>
    <xf numFmtId="10" fontId="14" fillId="44" borderId="28" xfId="44" applyNumberFormat="1" applyFont="1" applyFill="1" applyBorder="1"/>
    <xf numFmtId="165" fontId="0" fillId="0" borderId="0" xfId="0" applyNumberFormat="1"/>
    <xf numFmtId="10" fontId="0" fillId="0" borderId="0" xfId="44" applyNumberFormat="1" applyFont="1"/>
    <xf numFmtId="0" fontId="21" fillId="33" borderId="16" xfId="0" applyFont="1" applyFill="1" applyBorder="1"/>
    <xf numFmtId="4" fontId="0" fillId="0" borderId="0" xfId="0" applyNumberFormat="1" applyFill="1"/>
    <xf numFmtId="9" fontId="14" fillId="0" borderId="14" xfId="43" applyNumberFormat="1" applyFont="1" applyFill="1" applyBorder="1"/>
    <xf numFmtId="43" fontId="0" fillId="33" borderId="26" xfId="43" applyFont="1" applyFill="1" applyBorder="1"/>
    <xf numFmtId="0" fontId="0" fillId="0" borderId="0" xfId="0" applyFill="1" applyBorder="1" applyAlignment="1">
      <alignment horizontal="left"/>
    </xf>
    <xf numFmtId="43" fontId="0" fillId="0" borderId="0" xfId="43" applyFont="1" applyFill="1" applyBorder="1" applyAlignment="1">
      <alignment horizontal="left"/>
    </xf>
    <xf numFmtId="0" fontId="20" fillId="33" borderId="12" xfId="0" applyFont="1" applyFill="1" applyBorder="1" applyAlignment="1"/>
    <xf numFmtId="0" fontId="31" fillId="0" borderId="0" xfId="0" applyFont="1" applyFill="1"/>
    <xf numFmtId="0" fontId="32" fillId="0" borderId="0" xfId="0" applyFont="1" applyFill="1"/>
    <xf numFmtId="0" fontId="31" fillId="0" borderId="0" xfId="0" applyFont="1"/>
    <xf numFmtId="0" fontId="33" fillId="33" borderId="10" xfId="0" applyFont="1" applyFill="1" applyBorder="1"/>
    <xf numFmtId="0" fontId="33" fillId="39" borderId="10" xfId="0" applyFont="1" applyFill="1" applyBorder="1"/>
    <xf numFmtId="0" fontId="33" fillId="36" borderId="26" xfId="0" applyFont="1" applyFill="1" applyBorder="1"/>
    <xf numFmtId="0" fontId="34" fillId="0" borderId="0" xfId="0" applyFont="1" applyAlignment="1">
      <alignment horizontal="left"/>
    </xf>
    <xf numFmtId="0" fontId="35" fillId="33" borderId="10" xfId="0" applyFont="1" applyFill="1" applyBorder="1" applyAlignment="1">
      <alignment horizontal="left"/>
    </xf>
    <xf numFmtId="0" fontId="35" fillId="33" borderId="12" xfId="0" applyFont="1" applyFill="1" applyBorder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4" fillId="0" borderId="0" xfId="42" applyFont="1" applyAlignment="1">
      <alignment horizontal="left"/>
    </xf>
    <xf numFmtId="0" fontId="35" fillId="41" borderId="10" xfId="42" applyFont="1" applyFill="1" applyBorder="1" applyAlignment="1">
      <alignment horizontal="left"/>
    </xf>
    <xf numFmtId="0" fontId="36" fillId="0" borderId="0" xfId="42" applyFont="1" applyAlignment="1">
      <alignment horizontal="left"/>
    </xf>
    <xf numFmtId="0" fontId="34" fillId="0" borderId="0" xfId="42" applyFont="1" applyFill="1" applyAlignment="1">
      <alignment horizontal="left"/>
    </xf>
    <xf numFmtId="0" fontId="36" fillId="0" borderId="0" xfId="42" applyFont="1" applyFill="1" applyAlignment="1">
      <alignment horizontal="left"/>
    </xf>
    <xf numFmtId="0" fontId="35" fillId="33" borderId="10" xfId="42" applyFont="1" applyFill="1" applyBorder="1" applyAlignment="1">
      <alignment horizontal="left"/>
    </xf>
    <xf numFmtId="0" fontId="34" fillId="0" borderId="0" xfId="42" applyFont="1" applyFill="1" applyBorder="1" applyAlignment="1">
      <alignment horizontal="left"/>
    </xf>
    <xf numFmtId="0" fontId="34" fillId="0" borderId="0" xfId="42" applyFont="1" applyBorder="1" applyAlignment="1">
      <alignment horizontal="left"/>
    </xf>
    <xf numFmtId="0" fontId="35" fillId="0" borderId="0" xfId="42" applyFont="1" applyFill="1" applyBorder="1" applyAlignment="1">
      <alignment horizontal="left"/>
    </xf>
    <xf numFmtId="0" fontId="36" fillId="38" borderId="10" xfId="42" applyFont="1" applyFill="1" applyBorder="1" applyAlignment="1">
      <alignment horizontal="left"/>
    </xf>
    <xf numFmtId="0" fontId="35" fillId="33" borderId="12" xfId="42" applyFont="1" applyFill="1" applyBorder="1" applyAlignment="1">
      <alignment horizontal="left"/>
    </xf>
    <xf numFmtId="0" fontId="35" fillId="36" borderId="10" xfId="42" applyFont="1" applyFill="1" applyBorder="1" applyAlignment="1">
      <alignment horizontal="left"/>
    </xf>
    <xf numFmtId="165" fontId="37" fillId="0" borderId="0" xfId="0" applyNumberFormat="1" applyFont="1"/>
    <xf numFmtId="165" fontId="35" fillId="36" borderId="10" xfId="0" applyNumberFormat="1" applyFont="1" applyFill="1" applyBorder="1"/>
    <xf numFmtId="43" fontId="33" fillId="34" borderId="13" xfId="0" applyNumberFormat="1" applyFont="1" applyFill="1" applyBorder="1" applyAlignment="1">
      <alignment horizontal="center"/>
    </xf>
    <xf numFmtId="0" fontId="33" fillId="34" borderId="15" xfId="0" applyFont="1" applyFill="1" applyBorder="1" applyAlignment="1">
      <alignment horizontal="center"/>
    </xf>
    <xf numFmtId="10" fontId="33" fillId="34" borderId="15" xfId="0" applyNumberFormat="1" applyFont="1" applyFill="1" applyBorder="1" applyAlignment="1">
      <alignment horizontal="center"/>
    </xf>
    <xf numFmtId="43" fontId="33" fillId="34" borderId="13" xfId="43" applyFont="1" applyFill="1" applyBorder="1" applyAlignment="1">
      <alignment horizontal="center"/>
    </xf>
    <xf numFmtId="0" fontId="33" fillId="34" borderId="13" xfId="0" applyFont="1" applyFill="1" applyBorder="1" applyAlignment="1">
      <alignment horizontal="center"/>
    </xf>
    <xf numFmtId="0" fontId="33" fillId="44" borderId="13" xfId="0" applyFont="1" applyFill="1" applyBorder="1" applyAlignment="1">
      <alignment horizontal="center"/>
    </xf>
    <xf numFmtId="10" fontId="33" fillId="44" borderId="15" xfId="0" applyNumberFormat="1" applyFont="1" applyFill="1" applyBorder="1" applyAlignment="1">
      <alignment horizontal="center"/>
    </xf>
    <xf numFmtId="0" fontId="33" fillId="43" borderId="13" xfId="0" applyFont="1" applyFill="1" applyBorder="1" applyAlignment="1">
      <alignment horizontal="center"/>
    </xf>
    <xf numFmtId="10" fontId="33" fillId="43" borderId="15" xfId="0" applyNumberFormat="1" applyFont="1" applyFill="1" applyBorder="1" applyAlignment="1">
      <alignment horizontal="center"/>
    </xf>
    <xf numFmtId="43" fontId="31" fillId="0" borderId="0" xfId="0" applyNumberFormat="1" applyFont="1" applyFill="1"/>
    <xf numFmtId="0" fontId="31" fillId="0" borderId="14" xfId="0" applyFont="1" applyFill="1" applyBorder="1"/>
    <xf numFmtId="10" fontId="31" fillId="0" borderId="14" xfId="0" applyNumberFormat="1" applyFont="1" applyFill="1" applyBorder="1"/>
    <xf numFmtId="43" fontId="31" fillId="0" borderId="0" xfId="43" applyFont="1" applyFill="1"/>
    <xf numFmtId="0" fontId="31" fillId="44" borderId="0" xfId="0" applyFont="1" applyFill="1"/>
    <xf numFmtId="10" fontId="31" fillId="44" borderId="14" xfId="0" applyNumberFormat="1" applyFont="1" applyFill="1" applyBorder="1"/>
    <xf numFmtId="0" fontId="31" fillId="43" borderId="0" xfId="0" applyFont="1" applyFill="1"/>
    <xf numFmtId="10" fontId="31" fillId="43" borderId="14" xfId="0" applyNumberFormat="1" applyFont="1" applyFill="1" applyBorder="1"/>
    <xf numFmtId="43" fontId="32" fillId="0" borderId="0" xfId="43" applyNumberFormat="1" applyFont="1" applyFill="1"/>
    <xf numFmtId="9" fontId="39" fillId="0" borderId="14" xfId="43" applyNumberFormat="1" applyFont="1" applyFill="1" applyBorder="1"/>
    <xf numFmtId="43" fontId="32" fillId="0" borderId="0" xfId="43" applyFont="1" applyFill="1"/>
    <xf numFmtId="165" fontId="32" fillId="44" borderId="0" xfId="43" applyNumberFormat="1" applyFont="1" applyFill="1"/>
    <xf numFmtId="9" fontId="39" fillId="40" borderId="14" xfId="43" applyNumberFormat="1" applyFont="1" applyFill="1" applyBorder="1"/>
    <xf numFmtId="165" fontId="32" fillId="43" borderId="0" xfId="43" applyNumberFormat="1" applyFont="1" applyFill="1"/>
    <xf numFmtId="10" fontId="31" fillId="0" borderId="14" xfId="43" applyNumberFormat="1" applyFont="1" applyFill="1" applyBorder="1"/>
    <xf numFmtId="168" fontId="31" fillId="0" borderId="0" xfId="43" applyNumberFormat="1" applyFont="1" applyFill="1"/>
    <xf numFmtId="43" fontId="31" fillId="0" borderId="14" xfId="43" applyNumberFormat="1" applyFont="1" applyFill="1" applyBorder="1"/>
    <xf numFmtId="165" fontId="32" fillId="0" borderId="0" xfId="43" applyNumberFormat="1" applyFont="1" applyFill="1"/>
    <xf numFmtId="165" fontId="31" fillId="0" borderId="0" xfId="43" applyNumberFormat="1" applyFont="1" applyFill="1"/>
    <xf numFmtId="10" fontId="31" fillId="44" borderId="14" xfId="43" applyNumberFormat="1" applyFont="1" applyFill="1" applyBorder="1"/>
    <xf numFmtId="10" fontId="31" fillId="43" borderId="14" xfId="43" applyNumberFormat="1" applyFont="1" applyFill="1" applyBorder="1"/>
    <xf numFmtId="10" fontId="39" fillId="0" borderId="14" xfId="44" applyNumberFormat="1" applyFont="1" applyFill="1" applyBorder="1"/>
    <xf numFmtId="10" fontId="39" fillId="44" borderId="14" xfId="44" applyNumberFormat="1" applyFont="1" applyFill="1" applyBorder="1"/>
    <xf numFmtId="10" fontId="39" fillId="43" borderId="14" xfId="44" applyNumberFormat="1" applyFont="1" applyFill="1" applyBorder="1"/>
    <xf numFmtId="43" fontId="31" fillId="0" borderId="0" xfId="43" applyNumberFormat="1" applyFont="1" applyFill="1"/>
    <xf numFmtId="43" fontId="31" fillId="33" borderId="10" xfId="43" applyNumberFormat="1" applyFont="1" applyFill="1" applyBorder="1"/>
    <xf numFmtId="9" fontId="31" fillId="33" borderId="16" xfId="44" applyNumberFormat="1" applyFont="1" applyFill="1" applyBorder="1"/>
    <xf numFmtId="10" fontId="31" fillId="33" borderId="16" xfId="44" applyNumberFormat="1" applyFont="1" applyFill="1" applyBorder="1"/>
    <xf numFmtId="165" fontId="31" fillId="44" borderId="10" xfId="43" applyNumberFormat="1" applyFont="1" applyFill="1" applyBorder="1"/>
    <xf numFmtId="10" fontId="31" fillId="44" borderId="16" xfId="44" applyNumberFormat="1" applyFont="1" applyFill="1" applyBorder="1"/>
    <xf numFmtId="165" fontId="31" fillId="43" borderId="10" xfId="43" applyNumberFormat="1" applyFont="1" applyFill="1" applyBorder="1"/>
    <xf numFmtId="10" fontId="31" fillId="43" borderId="16" xfId="44" applyNumberFormat="1" applyFont="1" applyFill="1" applyBorder="1"/>
    <xf numFmtId="43" fontId="31" fillId="39" borderId="10" xfId="43" applyNumberFormat="1" applyFont="1" applyFill="1" applyBorder="1"/>
    <xf numFmtId="10" fontId="31" fillId="39" borderId="16" xfId="43" applyNumberFormat="1" applyFont="1" applyFill="1" applyBorder="1"/>
    <xf numFmtId="43" fontId="31" fillId="39" borderId="10" xfId="43" applyFont="1" applyFill="1" applyBorder="1"/>
    <xf numFmtId="165" fontId="31" fillId="39" borderId="10" xfId="43" applyNumberFormat="1" applyFont="1" applyFill="1" applyBorder="1"/>
    <xf numFmtId="10" fontId="31" fillId="44" borderId="16" xfId="43" applyNumberFormat="1" applyFont="1" applyFill="1" applyBorder="1"/>
    <xf numFmtId="10" fontId="31" fillId="43" borderId="16" xfId="43" applyNumberFormat="1" applyFont="1" applyFill="1" applyBorder="1"/>
    <xf numFmtId="43" fontId="31" fillId="36" borderId="26" xfId="43" applyNumberFormat="1" applyFont="1" applyFill="1" applyBorder="1"/>
    <xf numFmtId="10" fontId="31" fillId="36" borderId="27" xfId="44" applyNumberFormat="1" applyFont="1" applyFill="1" applyBorder="1"/>
    <xf numFmtId="43" fontId="31" fillId="36" borderId="26" xfId="43" applyFont="1" applyFill="1" applyBorder="1"/>
    <xf numFmtId="165" fontId="31" fillId="36" borderId="26" xfId="43" applyNumberFormat="1" applyFont="1" applyFill="1" applyBorder="1"/>
    <xf numFmtId="165" fontId="31" fillId="44" borderId="26" xfId="43" applyNumberFormat="1" applyFont="1" applyFill="1" applyBorder="1"/>
    <xf numFmtId="10" fontId="31" fillId="44" borderId="27" xfId="44" applyNumberFormat="1" applyFont="1" applyFill="1" applyBorder="1"/>
    <xf numFmtId="165" fontId="31" fillId="43" borderId="26" xfId="43" applyNumberFormat="1" applyFont="1" applyFill="1" applyBorder="1"/>
    <xf numFmtId="10" fontId="31" fillId="43" borderId="27" xfId="44" applyNumberFormat="1" applyFont="1" applyFill="1" applyBorder="1"/>
    <xf numFmtId="43" fontId="31" fillId="0" borderId="0" xfId="43" applyNumberFormat="1" applyFont="1" applyFill="1" applyBorder="1"/>
    <xf numFmtId="43" fontId="31" fillId="0" borderId="0" xfId="43" applyFont="1" applyFill="1" applyBorder="1"/>
    <xf numFmtId="43" fontId="31" fillId="33" borderId="10" xfId="43" applyFont="1" applyFill="1" applyBorder="1"/>
    <xf numFmtId="165" fontId="31" fillId="33" borderId="10" xfId="43" applyNumberFormat="1" applyFont="1" applyFill="1" applyBorder="1"/>
    <xf numFmtId="43" fontId="31" fillId="33" borderId="12" xfId="43" applyNumberFormat="1" applyFont="1" applyFill="1" applyBorder="1"/>
    <xf numFmtId="10" fontId="31" fillId="33" borderId="17" xfId="44" applyNumberFormat="1" applyFont="1" applyFill="1" applyBorder="1"/>
    <xf numFmtId="43" fontId="31" fillId="33" borderId="12" xfId="43" applyFont="1" applyFill="1" applyBorder="1"/>
    <xf numFmtId="165" fontId="31" fillId="33" borderId="12" xfId="43" applyNumberFormat="1" applyFont="1" applyFill="1" applyBorder="1"/>
    <xf numFmtId="165" fontId="31" fillId="44" borderId="12" xfId="43" applyNumberFormat="1" applyFont="1" applyFill="1" applyBorder="1"/>
    <xf numFmtId="10" fontId="31" fillId="44" borderId="17" xfId="44" applyNumberFormat="1" applyFont="1" applyFill="1" applyBorder="1"/>
    <xf numFmtId="165" fontId="31" fillId="43" borderId="12" xfId="43" applyNumberFormat="1" applyFont="1" applyFill="1" applyBorder="1"/>
    <xf numFmtId="10" fontId="31" fillId="43" borderId="17" xfId="44" applyNumberFormat="1" applyFont="1" applyFill="1" applyBorder="1"/>
    <xf numFmtId="43" fontId="31" fillId="36" borderId="10" xfId="43" applyNumberFormat="1" applyFont="1" applyFill="1" applyBorder="1"/>
    <xf numFmtId="10" fontId="31" fillId="40" borderId="16" xfId="44" applyNumberFormat="1" applyFont="1" applyFill="1" applyBorder="1"/>
    <xf numFmtId="10" fontId="31" fillId="36" borderId="16" xfId="44" applyNumberFormat="1" applyFont="1" applyFill="1" applyBorder="1"/>
    <xf numFmtId="43" fontId="31" fillId="36" borderId="10" xfId="43" applyFont="1" applyFill="1" applyBorder="1"/>
    <xf numFmtId="165" fontId="31" fillId="36" borderId="10" xfId="43" applyNumberFormat="1" applyFont="1" applyFill="1" applyBorder="1"/>
    <xf numFmtId="43" fontId="31" fillId="41" borderId="10" xfId="43" applyNumberFormat="1" applyFont="1" applyFill="1" applyBorder="1"/>
    <xf numFmtId="10" fontId="39" fillId="41" borderId="16" xfId="44" applyNumberFormat="1" applyFont="1" applyFill="1" applyBorder="1"/>
    <xf numFmtId="43" fontId="31" fillId="41" borderId="10" xfId="43" applyFont="1" applyFill="1" applyBorder="1"/>
    <xf numFmtId="165" fontId="31" fillId="41" borderId="10" xfId="43" applyNumberFormat="1" applyFont="1" applyFill="1" applyBorder="1"/>
    <xf numFmtId="10" fontId="39" fillId="0" borderId="16" xfId="44" applyNumberFormat="1" applyFont="1" applyFill="1" applyBorder="1"/>
    <xf numFmtId="43" fontId="31" fillId="0" borderId="34" xfId="43" applyNumberFormat="1" applyFont="1" applyFill="1" applyBorder="1"/>
    <xf numFmtId="43" fontId="32" fillId="43" borderId="0" xfId="43" applyNumberFormat="1" applyFont="1" applyFill="1"/>
    <xf numFmtId="43" fontId="32" fillId="0" borderId="34" xfId="43" applyNumberFormat="1" applyFont="1" applyFill="1" applyBorder="1"/>
    <xf numFmtId="165" fontId="39" fillId="0" borderId="14" xfId="44" applyNumberFormat="1" applyFont="1" applyFill="1" applyBorder="1"/>
    <xf numFmtId="43" fontId="39" fillId="0" borderId="14" xfId="44" applyNumberFormat="1" applyFont="1" applyFill="1" applyBorder="1"/>
    <xf numFmtId="4" fontId="31" fillId="0" borderId="19" xfId="0" applyNumberFormat="1" applyFont="1" applyBorder="1"/>
    <xf numFmtId="10" fontId="39" fillId="0" borderId="0" xfId="44" applyNumberFormat="1" applyFont="1" applyFill="1" applyBorder="1"/>
    <xf numFmtId="4" fontId="31" fillId="0" borderId="0" xfId="0" applyNumberFormat="1" applyFont="1" applyBorder="1"/>
    <xf numFmtId="168" fontId="32" fillId="43" borderId="0" xfId="43" applyNumberFormat="1" applyFont="1" applyFill="1"/>
    <xf numFmtId="43" fontId="31" fillId="33" borderId="34" xfId="43" applyFont="1" applyFill="1" applyBorder="1"/>
    <xf numFmtId="10" fontId="39" fillId="33" borderId="34" xfId="44" applyNumberFormat="1" applyFont="1" applyFill="1" applyBorder="1"/>
    <xf numFmtId="165" fontId="31" fillId="43" borderId="34" xfId="43" applyNumberFormat="1" applyFont="1" applyFill="1" applyBorder="1"/>
    <xf numFmtId="43" fontId="31" fillId="0" borderId="29" xfId="43" applyNumberFormat="1" applyFont="1" applyFill="1" applyBorder="1"/>
    <xf numFmtId="10" fontId="39" fillId="0" borderId="30" xfId="44" applyNumberFormat="1" applyFont="1" applyFill="1" applyBorder="1"/>
    <xf numFmtId="165" fontId="32" fillId="43" borderId="0" xfId="43" applyNumberFormat="1" applyFont="1" applyFill="1" applyBorder="1"/>
    <xf numFmtId="10" fontId="31" fillId="0" borderId="14" xfId="44" applyNumberFormat="1" applyFont="1" applyFill="1" applyBorder="1"/>
    <xf numFmtId="165" fontId="31" fillId="0" borderId="0" xfId="43" applyNumberFormat="1" applyFont="1" applyFill="1" applyBorder="1"/>
    <xf numFmtId="43" fontId="31" fillId="38" borderId="10" xfId="0" applyNumberFormat="1" applyFont="1" applyFill="1" applyBorder="1"/>
    <xf numFmtId="10" fontId="31" fillId="38" borderId="10" xfId="0" applyNumberFormat="1" applyFont="1" applyFill="1" applyBorder="1"/>
    <xf numFmtId="43" fontId="31" fillId="38" borderId="10" xfId="43" applyFont="1" applyFill="1" applyBorder="1"/>
    <xf numFmtId="165" fontId="31" fillId="38" borderId="10" xfId="0" applyNumberFormat="1" applyFont="1" applyFill="1" applyBorder="1"/>
    <xf numFmtId="165" fontId="31" fillId="42" borderId="10" xfId="0" applyNumberFormat="1" applyFont="1" applyFill="1" applyBorder="1"/>
    <xf numFmtId="43" fontId="31" fillId="0" borderId="0" xfId="0" applyNumberFormat="1" applyFont="1" applyBorder="1"/>
    <xf numFmtId="0" fontId="31" fillId="0" borderId="14" xfId="0" applyFont="1" applyBorder="1"/>
    <xf numFmtId="43" fontId="31" fillId="0" borderId="0" xfId="43" applyFont="1" applyBorder="1"/>
    <xf numFmtId="0" fontId="31" fillId="0" borderId="0" xfId="0" applyFont="1" applyBorder="1"/>
    <xf numFmtId="43" fontId="31" fillId="42" borderId="10" xfId="0" applyNumberFormat="1" applyFont="1" applyFill="1" applyBorder="1"/>
    <xf numFmtId="10" fontId="39" fillId="42" borderId="16" xfId="0" applyNumberFormat="1" applyFont="1" applyFill="1" applyBorder="1"/>
    <xf numFmtId="43" fontId="31" fillId="42" borderId="10" xfId="43" applyFont="1" applyFill="1" applyBorder="1"/>
    <xf numFmtId="165" fontId="32" fillId="42" borderId="10" xfId="0" applyNumberFormat="1" applyFont="1" applyFill="1" applyBorder="1"/>
    <xf numFmtId="10" fontId="31" fillId="33" borderId="16" xfId="43" applyNumberFormat="1" applyFont="1" applyFill="1" applyBorder="1"/>
    <xf numFmtId="43" fontId="31" fillId="0" borderId="34" xfId="43" applyNumberFormat="1" applyFont="1" applyBorder="1"/>
    <xf numFmtId="43" fontId="31" fillId="0" borderId="0" xfId="43" applyNumberFormat="1" applyFont="1" applyBorder="1"/>
    <xf numFmtId="43" fontId="31" fillId="0" borderId="0" xfId="43" applyNumberFormat="1" applyFont="1"/>
    <xf numFmtId="43" fontId="31" fillId="0" borderId="0" xfId="43" applyFont="1"/>
    <xf numFmtId="165" fontId="31" fillId="0" borderId="0" xfId="43" applyNumberFormat="1" applyFont="1" applyBorder="1"/>
    <xf numFmtId="165" fontId="31" fillId="0" borderId="0" xfId="43" applyNumberFormat="1" applyFont="1"/>
    <xf numFmtId="10" fontId="39" fillId="0" borderId="14" xfId="44" applyNumberFormat="1" applyFont="1" applyBorder="1"/>
    <xf numFmtId="10" fontId="39" fillId="0" borderId="28" xfId="44" applyNumberFormat="1" applyFont="1" applyFill="1" applyBorder="1"/>
    <xf numFmtId="165" fontId="31" fillId="0" borderId="14" xfId="43" applyNumberFormat="1" applyFont="1" applyBorder="1"/>
    <xf numFmtId="10" fontId="31" fillId="0" borderId="14" xfId="43" applyNumberFormat="1" applyFont="1" applyBorder="1"/>
    <xf numFmtId="165" fontId="31" fillId="44" borderId="0" xfId="43" applyNumberFormat="1" applyFont="1" applyFill="1"/>
    <xf numFmtId="165" fontId="31" fillId="43" borderId="0" xfId="43" applyNumberFormat="1" applyFont="1" applyFill="1"/>
    <xf numFmtId="43" fontId="31" fillId="36" borderId="10" xfId="0" applyNumberFormat="1" applyFont="1" applyFill="1" applyBorder="1"/>
    <xf numFmtId="10" fontId="31" fillId="36" borderId="16" xfId="0" applyNumberFormat="1" applyFont="1" applyFill="1" applyBorder="1"/>
    <xf numFmtId="43" fontId="31" fillId="0" borderId="0" xfId="0" applyNumberFormat="1" applyFont="1"/>
    <xf numFmtId="10" fontId="31" fillId="0" borderId="14" xfId="0" applyNumberFormat="1" applyFont="1" applyBorder="1"/>
    <xf numFmtId="0" fontId="31" fillId="36" borderId="16" xfId="0" applyFont="1" applyFill="1" applyBorder="1"/>
    <xf numFmtId="0" fontId="31" fillId="36" borderId="10" xfId="0" applyFont="1" applyFill="1" applyBorder="1"/>
    <xf numFmtId="165" fontId="31" fillId="36" borderId="10" xfId="0" applyNumberFormat="1" applyFont="1" applyFill="1" applyBorder="1"/>
    <xf numFmtId="10" fontId="31" fillId="43" borderId="0" xfId="0" applyNumberFormat="1" applyFont="1" applyFill="1" applyBorder="1"/>
    <xf numFmtId="10" fontId="37" fillId="0" borderId="34" xfId="0" applyNumberFormat="1" applyFont="1" applyBorder="1" applyAlignment="1">
      <alignment horizontal="center"/>
    </xf>
    <xf numFmtId="43" fontId="37" fillId="44" borderId="25" xfId="0" applyNumberFormat="1" applyFont="1" applyFill="1" applyBorder="1"/>
    <xf numFmtId="43" fontId="31" fillId="0" borderId="0" xfId="0" applyNumberFormat="1" applyFont="1" applyFill="1" applyBorder="1"/>
    <xf numFmtId="0" fontId="31" fillId="0" borderId="0" xfId="0" applyFont="1" applyFill="1" applyBorder="1"/>
    <xf numFmtId="10" fontId="31" fillId="0" borderId="0" xfId="0" applyNumberFormat="1" applyFont="1" applyFill="1" applyBorder="1"/>
    <xf numFmtId="165" fontId="31" fillId="0" borderId="0" xfId="0" applyNumberFormat="1" applyFont="1" applyFill="1" applyBorder="1"/>
    <xf numFmtId="0" fontId="31" fillId="0" borderId="0" xfId="0" applyFont="1" applyFill="1" applyBorder="1" applyAlignment="1">
      <alignment horizontal="left"/>
    </xf>
    <xf numFmtId="4" fontId="31" fillId="0" borderId="0" xfId="0" applyNumberFormat="1" applyFont="1" applyFill="1" applyBorder="1"/>
    <xf numFmtId="43" fontId="31" fillId="0" borderId="0" xfId="43" applyFont="1" applyFill="1" applyBorder="1" applyAlignment="1">
      <alignment horizontal="left"/>
    </xf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" fontId="0" fillId="0" borderId="10" xfId="0" applyNumberFormat="1" applyFill="1" applyBorder="1"/>
    <xf numFmtId="165" fontId="22" fillId="44" borderId="22" xfId="43" applyNumberFormat="1" applyFont="1" applyFill="1" applyBorder="1"/>
    <xf numFmtId="165" fontId="22" fillId="44" borderId="18" xfId="43" applyNumberFormat="1" applyFont="1" applyFill="1" applyBorder="1"/>
    <xf numFmtId="165" fontId="22" fillId="43" borderId="11" xfId="43" applyNumberFormat="1" applyFont="1" applyFill="1" applyBorder="1"/>
    <xf numFmtId="10" fontId="40" fillId="0" borderId="14" xfId="44" applyNumberFormat="1" applyFont="1" applyFill="1" applyBorder="1"/>
    <xf numFmtId="165" fontId="41" fillId="44" borderId="22" xfId="43" applyNumberFormat="1" applyFont="1" applyFill="1" applyBorder="1"/>
    <xf numFmtId="10" fontId="40" fillId="0" borderId="17" xfId="44" applyNumberFormat="1" applyFont="1" applyFill="1" applyBorder="1"/>
    <xf numFmtId="165" fontId="41" fillId="43" borderId="0" xfId="43" applyNumberFormat="1" applyFont="1" applyFill="1" applyBorder="1"/>
    <xf numFmtId="165" fontId="41" fillId="44" borderId="19" xfId="43" applyNumberFormat="1" applyFont="1" applyFill="1" applyBorder="1"/>
    <xf numFmtId="10" fontId="40" fillId="0" borderId="28" xfId="44" applyNumberFormat="1" applyFont="1" applyFill="1" applyBorder="1"/>
    <xf numFmtId="165" fontId="41" fillId="44" borderId="18" xfId="43" applyNumberFormat="1" applyFont="1" applyFill="1" applyBorder="1"/>
    <xf numFmtId="165" fontId="41" fillId="43" borderId="11" xfId="43" applyNumberFormat="1" applyFont="1" applyFill="1" applyBorder="1"/>
    <xf numFmtId="164" fontId="26" fillId="0" borderId="11" xfId="45" applyFont="1" applyFill="1" applyBorder="1" applyAlignment="1">
      <alignment horizontal="center" vertical="center"/>
    </xf>
    <xf numFmtId="164" fontId="26" fillId="0" borderId="28" xfId="45" applyFont="1" applyFill="1" applyBorder="1" applyAlignment="1">
      <alignment horizontal="center" vertical="center"/>
    </xf>
    <xf numFmtId="0" fontId="13" fillId="35" borderId="11" xfId="0" applyFont="1" applyFill="1" applyBorder="1" applyAlignment="1">
      <alignment horizontal="center"/>
    </xf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5" xfId="0" applyFont="1" applyFill="1" applyBorder="1" applyAlignment="1">
      <alignment horizontal="center"/>
    </xf>
    <xf numFmtId="0" fontId="30" fillId="0" borderId="11" xfId="0" applyFont="1" applyFill="1" applyBorder="1" applyAlignment="1">
      <alignment horizontal="center"/>
    </xf>
    <xf numFmtId="0" fontId="30" fillId="0" borderId="28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0" fillId="49" borderId="17" xfId="0" applyFill="1" applyBorder="1" applyAlignment="1">
      <alignment horizontal="center" vertical="center"/>
    </xf>
    <xf numFmtId="0" fontId="0" fillId="49" borderId="28" xfId="0" applyFill="1" applyBorder="1" applyAlignment="1">
      <alignment horizontal="center" vertical="center"/>
    </xf>
    <xf numFmtId="0" fontId="0" fillId="50" borderId="33" xfId="0" applyFill="1" applyBorder="1" applyAlignment="1">
      <alignment horizontal="center" vertical="center"/>
    </xf>
    <xf numFmtId="0" fontId="0" fillId="50" borderId="32" xfId="0" applyFill="1" applyBorder="1" applyAlignment="1">
      <alignment horizontal="center" vertical="center"/>
    </xf>
    <xf numFmtId="0" fontId="38" fillId="35" borderId="23" xfId="0" applyFont="1" applyFill="1" applyBorder="1" applyAlignment="1">
      <alignment horizontal="center"/>
    </xf>
    <xf numFmtId="0" fontId="38" fillId="35" borderId="25" xfId="0" applyFont="1" applyFill="1" applyBorder="1" applyAlignment="1">
      <alignment horizontal="center"/>
    </xf>
    <xf numFmtId="0" fontId="38" fillId="35" borderId="11" xfId="0" applyFont="1" applyFill="1" applyBorder="1" applyAlignment="1">
      <alignment horizontal="center"/>
    </xf>
    <xf numFmtId="0" fontId="38" fillId="35" borderId="24" xfId="0" applyFont="1" applyFill="1" applyBorder="1" applyAlignment="1">
      <alignment horizontal="center"/>
    </xf>
    <xf numFmtId="0" fontId="33" fillId="44" borderId="11" xfId="0" applyFont="1" applyFill="1" applyBorder="1" applyAlignment="1">
      <alignment horizontal="center"/>
    </xf>
    <xf numFmtId="0" fontId="33" fillId="43" borderId="11" xfId="0" applyFont="1" applyFill="1" applyBorder="1" applyAlignment="1">
      <alignment horizontal="center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5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6"/>
    <cellStyle name="Normal 11" xfId="47"/>
    <cellStyle name="Normal 12" xfId="48"/>
    <cellStyle name="Normal 13" xfId="49"/>
    <cellStyle name="Normal 14" xfId="50"/>
    <cellStyle name="Normal 15" xfId="51"/>
    <cellStyle name="Normal 16" xfId="52"/>
    <cellStyle name="Normal 2" xfId="42"/>
    <cellStyle name="Normal 3" xfId="53"/>
    <cellStyle name="Normal 4" xfId="54"/>
    <cellStyle name="Normal 5" xfId="55"/>
    <cellStyle name="Normal 6" xfId="56"/>
    <cellStyle name="Normal 7" xfId="57"/>
    <cellStyle name="Normal 8" xfId="58"/>
    <cellStyle name="Normal 9" xfId="59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  <color rgb="FFFF0066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1.xml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6.bin"/><Relationship Id="rId7" Type="http://schemas.openxmlformats.org/officeDocument/2006/relationships/printerSettings" Target="../printerSettings/printerSettings20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1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18.bin"/><Relationship Id="rId10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17.bin"/><Relationship Id="rId9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>
    <tabColor rgb="FFFF0000"/>
  </sheetPr>
  <dimension ref="A1:AO161"/>
  <sheetViews>
    <sheetView zoomScale="85" zoomScaleNormal="85" workbookViewId="0">
      <pane xSplit="2" ySplit="3" topLeftCell="N33" activePane="bottomRight" state="frozen"/>
      <selection pane="topRight" activeCell="C1" sqref="C1"/>
      <selection pane="bottomLeft" activeCell="A4" sqref="A4"/>
      <selection pane="bottomRight" activeCell="O60" sqref="O60"/>
    </sheetView>
  </sheetViews>
  <sheetFormatPr defaultColWidth="9.140625" defaultRowHeight="15"/>
  <cols>
    <col min="1" max="1" width="6.42578125" style="134" bestFit="1" customWidth="1"/>
    <col min="2" max="2" width="38" style="134" customWidth="1"/>
    <col min="3" max="3" width="14.85546875" style="135" customWidth="1"/>
    <col min="4" max="4" width="12.28515625" style="136" bestFit="1" customWidth="1"/>
    <col min="5" max="5" width="14.28515625" style="135" customWidth="1"/>
    <col min="6" max="6" width="8.140625" style="137" customWidth="1"/>
    <col min="7" max="7" width="14.28515625" style="135" customWidth="1"/>
    <col min="8" max="8" width="8.140625" style="137" bestFit="1" customWidth="1"/>
    <col min="9" max="9" width="14.28515625" style="135" customWidth="1"/>
    <col min="10" max="10" width="8.140625" style="137" customWidth="1"/>
    <col min="11" max="11" width="14.28515625" style="135" customWidth="1"/>
    <col min="12" max="12" width="9.140625" style="137" customWidth="1"/>
    <col min="13" max="13" width="14.28515625" style="135" customWidth="1"/>
    <col min="14" max="14" width="8.140625" style="137" customWidth="1"/>
    <col min="15" max="15" width="14.28515625" style="135" customWidth="1"/>
    <col min="16" max="16" width="8.140625" style="137" customWidth="1"/>
    <col min="17" max="17" width="14.28515625" style="135" customWidth="1"/>
    <col min="18" max="18" width="8.140625" style="137" customWidth="1"/>
    <col min="19" max="19" width="14.28515625" style="135" customWidth="1"/>
    <col min="20" max="20" width="8.140625" style="137" customWidth="1"/>
    <col min="21" max="21" width="14.28515625" style="135" customWidth="1"/>
    <col min="22" max="22" width="8.140625" style="137" customWidth="1"/>
    <col min="23" max="23" width="17.42578125" style="135" customWidth="1"/>
    <col min="24" max="24" width="8.140625" style="137" customWidth="1"/>
    <col min="25" max="25" width="14.28515625" style="135" customWidth="1"/>
    <col min="26" max="26" width="8.140625" style="137" customWidth="1"/>
    <col min="27" max="27" width="14.5703125" style="133" customWidth="1"/>
    <col min="28" max="28" width="8.140625" style="138" customWidth="1"/>
    <col min="29" max="29" width="14" style="133" customWidth="1"/>
    <col min="30" max="31" width="8.140625" style="138" customWidth="1"/>
    <col min="32" max="32" width="13.28515625" style="134" hidden="1" customWidth="1"/>
    <col min="33" max="33" width="15.28515625" style="135" hidden="1" customWidth="1"/>
    <col min="34" max="34" width="14" style="135" hidden="1" customWidth="1"/>
    <col min="35" max="35" width="13.28515625" style="135" hidden="1" customWidth="1"/>
    <col min="36" max="36" width="14.28515625" style="134" bestFit="1" customWidth="1"/>
    <col min="37" max="16384" width="9.140625" style="134"/>
  </cols>
  <sheetData>
    <row r="1" spans="1:36" customFormat="1">
      <c r="A1" s="593" t="s">
        <v>250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  <c r="AD1" s="594"/>
      <c r="AE1" s="283"/>
      <c r="AG1" s="27"/>
      <c r="AH1" s="27"/>
      <c r="AI1" s="27"/>
    </row>
    <row r="2" spans="1:36" s="33" customFormat="1">
      <c r="A2" s="32" t="s">
        <v>137</v>
      </c>
      <c r="B2" s="32"/>
      <c r="C2" s="595" t="s">
        <v>64</v>
      </c>
      <c r="D2" s="595"/>
      <c r="E2" s="595" t="s">
        <v>65</v>
      </c>
      <c r="F2" s="595"/>
      <c r="G2" s="595" t="s">
        <v>81</v>
      </c>
      <c r="H2" s="595"/>
      <c r="I2" s="595" t="s">
        <v>82</v>
      </c>
      <c r="J2" s="595"/>
      <c r="K2" s="595" t="s">
        <v>83</v>
      </c>
      <c r="L2" s="595"/>
      <c r="M2" s="595" t="s">
        <v>84</v>
      </c>
      <c r="N2" s="595"/>
      <c r="O2" s="595" t="s">
        <v>85</v>
      </c>
      <c r="P2" s="595"/>
      <c r="Q2" s="595" t="s">
        <v>86</v>
      </c>
      <c r="R2" s="595"/>
      <c r="S2" s="595" t="s">
        <v>87</v>
      </c>
      <c r="T2" s="595"/>
      <c r="U2" s="595" t="s">
        <v>120</v>
      </c>
      <c r="V2" s="595"/>
      <c r="W2" s="595" t="s">
        <v>121</v>
      </c>
      <c r="X2" s="595"/>
      <c r="Y2" s="595" t="s">
        <v>122</v>
      </c>
      <c r="Z2" s="595"/>
      <c r="AA2" s="596" t="s">
        <v>118</v>
      </c>
      <c r="AB2" s="596"/>
      <c r="AC2" s="597" t="s">
        <v>119</v>
      </c>
      <c r="AD2" s="597"/>
      <c r="AE2" s="284"/>
      <c r="AG2" s="264"/>
      <c r="AH2" s="264"/>
      <c r="AI2" s="264"/>
    </row>
    <row r="3" spans="1:36" customFormat="1" ht="15.75" thickBot="1">
      <c r="A3" s="233"/>
      <c r="B3" s="234" t="s">
        <v>69</v>
      </c>
      <c r="C3" s="184" t="s">
        <v>106</v>
      </c>
      <c r="D3" s="185" t="s">
        <v>80</v>
      </c>
      <c r="E3" s="184" t="s">
        <v>106</v>
      </c>
      <c r="F3" s="185" t="s">
        <v>80</v>
      </c>
      <c r="G3" s="184" t="s">
        <v>106</v>
      </c>
      <c r="H3" s="185" t="s">
        <v>80</v>
      </c>
      <c r="I3" s="184" t="s">
        <v>106</v>
      </c>
      <c r="J3" s="185" t="s">
        <v>80</v>
      </c>
      <c r="K3" s="184" t="s">
        <v>106</v>
      </c>
      <c r="L3" s="185" t="s">
        <v>80</v>
      </c>
      <c r="M3" s="184" t="s">
        <v>106</v>
      </c>
      <c r="N3" s="185" t="s">
        <v>80</v>
      </c>
      <c r="O3" s="184" t="s">
        <v>106</v>
      </c>
      <c r="P3" s="185" t="s">
        <v>80</v>
      </c>
      <c r="Q3" s="184" t="s">
        <v>106</v>
      </c>
      <c r="R3" s="185" t="s">
        <v>80</v>
      </c>
      <c r="S3" s="184" t="s">
        <v>106</v>
      </c>
      <c r="T3" s="185" t="s">
        <v>80</v>
      </c>
      <c r="U3" s="184" t="s">
        <v>106</v>
      </c>
      <c r="V3" s="185" t="s">
        <v>80</v>
      </c>
      <c r="W3" s="184" t="s">
        <v>106</v>
      </c>
      <c r="X3" s="185" t="s">
        <v>80</v>
      </c>
      <c r="Y3" s="184" t="s">
        <v>106</v>
      </c>
      <c r="Z3" s="185" t="s">
        <v>80</v>
      </c>
      <c r="AA3" s="101" t="s">
        <v>106</v>
      </c>
      <c r="AB3" s="117" t="s">
        <v>80</v>
      </c>
      <c r="AC3" s="85" t="s">
        <v>106</v>
      </c>
      <c r="AD3" s="120" t="s">
        <v>80</v>
      </c>
      <c r="AE3" s="285"/>
      <c r="AG3" s="27"/>
      <c r="AH3" s="27"/>
      <c r="AI3" s="27"/>
    </row>
    <row r="4" spans="1:36" customFormat="1">
      <c r="A4" s="1"/>
      <c r="B4" s="1"/>
      <c r="C4" s="189"/>
      <c r="D4" s="49"/>
      <c r="E4" s="21"/>
      <c r="F4" s="82"/>
      <c r="G4" s="21"/>
      <c r="H4" s="82"/>
      <c r="I4" s="21"/>
      <c r="J4" s="82"/>
      <c r="K4" s="21"/>
      <c r="L4" s="82"/>
      <c r="M4" s="21"/>
      <c r="N4" s="82"/>
      <c r="O4" s="21"/>
      <c r="P4" s="82"/>
      <c r="Q4" s="21"/>
      <c r="R4" s="82"/>
      <c r="S4" s="21"/>
      <c r="T4" s="82"/>
      <c r="U4" s="21"/>
      <c r="V4" s="82"/>
      <c r="W4" s="21"/>
      <c r="X4" s="82"/>
      <c r="Y4" s="21"/>
      <c r="Z4" s="82"/>
      <c r="AA4" s="103"/>
      <c r="AB4" s="118"/>
      <c r="AC4" s="87"/>
      <c r="AD4" s="121"/>
      <c r="AE4" s="138"/>
      <c r="AG4" s="27"/>
      <c r="AH4" s="27"/>
      <c r="AI4" s="27"/>
    </row>
    <row r="5" spans="1:36" customFormat="1">
      <c r="A5" s="6">
        <v>5004</v>
      </c>
      <c r="B5" s="16" t="s">
        <v>71</v>
      </c>
      <c r="C5" s="190">
        <f>'400'!C5+'404'!C5+'411'!C5+'425'!C5+'426'!C5</f>
        <v>953722.01427821734</v>
      </c>
      <c r="D5" s="49"/>
      <c r="E5" s="190">
        <f>'400'!E5+'404'!E5+'411'!E5+'425'!E5+'426'!E5</f>
        <v>704630.13463543763</v>
      </c>
      <c r="F5" s="49"/>
      <c r="G5" s="190">
        <f>'400'!G5+'404'!G5+'411'!G5+'425'!G5+'426'!G5</f>
        <v>1283937.9483820917</v>
      </c>
      <c r="H5" s="49"/>
      <c r="I5" s="190">
        <f>'400'!I5+'404'!I5+'411'!I5+'425'!I5+'426'!I5</f>
        <v>1063341.6658594534</v>
      </c>
      <c r="J5" s="49"/>
      <c r="K5" s="190">
        <f>'400'!K5+'404'!K5+'411'!K5+'425'!K5+'426'!K5</f>
        <v>901024.40366609266</v>
      </c>
      <c r="L5" s="49"/>
      <c r="M5" s="190">
        <f>'400'!M5+'404'!M5+'411'!M5+'425'!M5+'426'!M5</f>
        <v>1419600.14390991</v>
      </c>
      <c r="N5" s="49"/>
      <c r="O5" s="190">
        <f>'400'!O5+'404'!O5+'411'!O5+'425'!O5+'426'!O5</f>
        <v>898763.78685671557</v>
      </c>
      <c r="P5" s="49"/>
      <c r="Q5" s="190">
        <f>'400'!Q5+'404'!Q5+'411'!Q5+'425'!Q5+'426'!Q5</f>
        <v>1108058.43753459</v>
      </c>
      <c r="R5" s="49"/>
      <c r="S5" s="190">
        <f>'400'!S5+'404'!S5+'411'!S5+'425'!S5+'426'!S5</f>
        <v>1043960.8908107186</v>
      </c>
      <c r="T5" s="49"/>
      <c r="U5" s="190">
        <f>'400'!U5+'404'!U5+'411'!U5+'425'!U5+'426'!U5</f>
        <v>866295.51465344604</v>
      </c>
      <c r="V5" s="49"/>
      <c r="W5" s="190">
        <f>'400'!W5+'404'!W5+'411'!W5+'425'!W5+'426'!W5</f>
        <v>771229.40411299653</v>
      </c>
      <c r="X5" s="49"/>
      <c r="Y5" s="190">
        <f>'400'!Y5+'404'!Y5+'411'!Y5+'425'!Y5+'426'!Y5</f>
        <v>1311925.4204124308</v>
      </c>
      <c r="Z5" s="49"/>
      <c r="AA5" s="320">
        <f>'400'!AA5+'404'!AA5+'411'!AA5+'425'!AA5+'426'!AA5</f>
        <v>12326489.7651121</v>
      </c>
      <c r="AB5" s="49"/>
      <c r="AC5" s="36">
        <f>AA5/12</f>
        <v>1027207.4804260083</v>
      </c>
      <c r="AD5" s="92"/>
      <c r="AE5" s="144"/>
      <c r="AF5" s="64">
        <f>C5+E5+G5+I5+K5+M5+O5+Q5+S5+U5+W5+Y5</f>
        <v>12326489.7651121</v>
      </c>
      <c r="AG5" s="27" t="e">
        <f>'400'!#REF!+#REF!+#REF!+#REF!+'404'!#REF!+#REF!+#REF!+#REF!+#REF!+#REF!+#REF!</f>
        <v>#REF!</v>
      </c>
      <c r="AH5" s="27" t="e">
        <f>AA5-AG5</f>
        <v>#REF!</v>
      </c>
      <c r="AI5" s="27">
        <f>'400'!AA5+'404'!AA5+'411'!AA5</f>
        <v>6878334.4715032401</v>
      </c>
      <c r="AJ5" s="27"/>
    </row>
    <row r="6" spans="1:36" customFormat="1">
      <c r="A6" s="1">
        <v>5005</v>
      </c>
      <c r="B6" s="1" t="s">
        <v>67</v>
      </c>
      <c r="C6" s="190">
        <f>'400'!C6+'404'!C6+'411'!C6+'425'!C6+'426'!C6</f>
        <v>0</v>
      </c>
      <c r="D6" s="49">
        <f>C6/C$5</f>
        <v>0</v>
      </c>
      <c r="E6" s="190">
        <f>'400'!E6+'404'!E6+'411'!E6+'425'!E6+'426'!E6</f>
        <v>0</v>
      </c>
      <c r="F6" s="49">
        <f>E6/E$5</f>
        <v>0</v>
      </c>
      <c r="G6" s="190">
        <f>'400'!G6+'404'!G6+'411'!G6+'425'!G6+'426'!G6</f>
        <v>0</v>
      </c>
      <c r="H6" s="49">
        <f>G6/G$5</f>
        <v>0</v>
      </c>
      <c r="I6" s="190">
        <f>'400'!I6+'404'!I6+'411'!I6+'425'!I6+'426'!I6</f>
        <v>0</v>
      </c>
      <c r="J6" s="49">
        <f>I6/I$5</f>
        <v>0</v>
      </c>
      <c r="K6" s="190">
        <f>'400'!K6+'404'!K6+'411'!K6+'425'!K6+'426'!K6</f>
        <v>0</v>
      </c>
      <c r="L6" s="49">
        <f>K6/K$5</f>
        <v>0</v>
      </c>
      <c r="M6" s="190">
        <f>'400'!M6+'404'!M6+'411'!M6+'425'!M6+'426'!M6</f>
        <v>0</v>
      </c>
      <c r="N6" s="49">
        <f>M6/M$5</f>
        <v>0</v>
      </c>
      <c r="O6" s="190">
        <f>'400'!O6+'404'!O6+'411'!O6+'425'!O6+'426'!O6</f>
        <v>0</v>
      </c>
      <c r="P6" s="49">
        <f>O6/O$5</f>
        <v>0</v>
      </c>
      <c r="Q6" s="190">
        <f>'400'!Q6+'404'!Q6+'411'!Q6+'425'!Q6+'426'!Q6</f>
        <v>0</v>
      </c>
      <c r="R6" s="49">
        <f>Q6/Q$5</f>
        <v>0</v>
      </c>
      <c r="S6" s="190">
        <f>'400'!S6+'404'!S6+'411'!S6+'425'!S6+'426'!S6</f>
        <v>0</v>
      </c>
      <c r="T6" s="49">
        <f>S6/S$5</f>
        <v>0</v>
      </c>
      <c r="U6" s="190">
        <f>'400'!U6+'404'!U6+'411'!U6+'425'!U6+'426'!U6</f>
        <v>0</v>
      </c>
      <c r="V6" s="49">
        <f>U6/U$5</f>
        <v>0</v>
      </c>
      <c r="W6" s="190">
        <f>'400'!W6+'404'!W6+'411'!W6+'425'!W6+'426'!W6</f>
        <v>0</v>
      </c>
      <c r="X6" s="49">
        <f>W6/W$5</f>
        <v>0</v>
      </c>
      <c r="Y6" s="190">
        <f>'400'!Y6+'404'!Y6+'411'!Y6+'425'!Y6+'426'!Y6</f>
        <v>0</v>
      </c>
      <c r="Z6" s="49">
        <f>Y6/Y$5</f>
        <v>0</v>
      </c>
      <c r="AA6" s="320">
        <f>'400'!AA6+'404'!AA6+'411'!AA6+'425'!AA6+'426'!AA6</f>
        <v>0</v>
      </c>
      <c r="AB6" s="118">
        <f>AA6/AA$5</f>
        <v>0</v>
      </c>
      <c r="AC6" s="89">
        <f t="shared" ref="AC6:AC14" si="0">AA6/12</f>
        <v>0</v>
      </c>
      <c r="AD6" s="121">
        <f>AC6/AC$5</f>
        <v>0</v>
      </c>
      <c r="AE6" s="138"/>
      <c r="AF6" s="64">
        <f t="shared" ref="AF6:AF69" si="1">C6+E6+G6+I6+K6+M6+O6+Q6+S6+U6+W6+Y6</f>
        <v>0</v>
      </c>
      <c r="AG6" s="27" t="e">
        <f>'400'!#REF!+#REF!+#REF!+#REF!+'404'!#REF!+#REF!+#REF!+#REF!+#REF!+#REF!+#REF!</f>
        <v>#REF!</v>
      </c>
      <c r="AH6" s="27" t="e">
        <f>AA6-AG6</f>
        <v>#REF!</v>
      </c>
      <c r="AI6" s="27">
        <f>'400'!AA6+'404'!AA6+'411'!AA6</f>
        <v>0</v>
      </c>
    </row>
    <row r="7" spans="1:36" customFormat="1">
      <c r="A7" s="14">
        <v>5051</v>
      </c>
      <c r="B7" s="15" t="s">
        <v>74</v>
      </c>
      <c r="C7" s="190">
        <f>'400'!C7+'404'!C7+'411'!C7+'425'!C7+'426'!C7</f>
        <v>0</v>
      </c>
      <c r="D7" s="49">
        <f t="shared" ref="D7:D11" si="2">C7/C$5</f>
        <v>0</v>
      </c>
      <c r="E7" s="190">
        <f>'400'!E7+'404'!E7+'411'!E7+'425'!E7+'426'!E7</f>
        <v>0</v>
      </c>
      <c r="F7" s="49">
        <f t="shared" ref="F7:F11" si="3">E7/E$5</f>
        <v>0</v>
      </c>
      <c r="G7" s="190">
        <f>'400'!G7+'404'!G7+'411'!G7+'425'!G7+'426'!G7</f>
        <v>0</v>
      </c>
      <c r="H7" s="49">
        <f t="shared" ref="H7:H11" si="4">G7/G$5</f>
        <v>0</v>
      </c>
      <c r="I7" s="190">
        <f>'400'!I7+'404'!I7+'411'!I7+'425'!I7+'426'!I7</f>
        <v>0</v>
      </c>
      <c r="J7" s="49">
        <f t="shared" ref="J7:J11" si="5">I7/I$5</f>
        <v>0</v>
      </c>
      <c r="K7" s="190">
        <f>'400'!K7+'404'!K7+'411'!K7+'425'!K7+'426'!K7</f>
        <v>0</v>
      </c>
      <c r="L7" s="49">
        <f t="shared" ref="L7:L11" si="6">K7/K$5</f>
        <v>0</v>
      </c>
      <c r="M7" s="190">
        <f>'400'!M7+'404'!M7+'411'!M7+'425'!M7+'426'!M7</f>
        <v>0</v>
      </c>
      <c r="N7" s="49">
        <f t="shared" ref="N7:N11" si="7">M7/M$5</f>
        <v>0</v>
      </c>
      <c r="O7" s="190">
        <f>'400'!O7+'404'!O7+'411'!O7+'425'!O7+'426'!O7</f>
        <v>0</v>
      </c>
      <c r="P7" s="49">
        <f t="shared" ref="P7:P11" si="8">O7/O$5</f>
        <v>0</v>
      </c>
      <c r="Q7" s="190">
        <f>'400'!Q7+'404'!Q7+'411'!Q7+'425'!Q7+'426'!Q7</f>
        <v>0</v>
      </c>
      <c r="R7" s="49">
        <f t="shared" ref="R7:R11" si="9">Q7/Q$5</f>
        <v>0</v>
      </c>
      <c r="S7" s="190">
        <f>'400'!S7+'404'!S7+'411'!S7+'425'!S7+'426'!S7</f>
        <v>0</v>
      </c>
      <c r="T7" s="49">
        <f t="shared" ref="T7:T11" si="10">S7/S$5</f>
        <v>0</v>
      </c>
      <c r="U7" s="190">
        <f>'400'!U7+'404'!U7+'411'!U7+'425'!U7+'426'!U7</f>
        <v>0</v>
      </c>
      <c r="V7" s="49">
        <f t="shared" ref="V7:V11" si="11">U7/U$5</f>
        <v>0</v>
      </c>
      <c r="W7" s="190">
        <f>'400'!W7+'404'!W7+'411'!W7+'425'!W7+'426'!W7</f>
        <v>0</v>
      </c>
      <c r="X7" s="49">
        <f t="shared" ref="X7:X11" si="12">W7/W$5</f>
        <v>0</v>
      </c>
      <c r="Y7" s="190">
        <f>'400'!Y7+'404'!Y7+'411'!Y7+'425'!Y7+'426'!Y7</f>
        <v>0</v>
      </c>
      <c r="Z7" s="49">
        <f t="shared" ref="Z7:Z11" si="13">Y7/Y$5</f>
        <v>0</v>
      </c>
      <c r="AA7" s="320">
        <f>'400'!AA7+'404'!AA7+'411'!AA7+'425'!AA7+'426'!AA7</f>
        <v>0</v>
      </c>
      <c r="AB7" s="108">
        <f t="shared" ref="AB7" si="14">AA7/AA$5</f>
        <v>0</v>
      </c>
      <c r="AC7" s="89">
        <f t="shared" si="0"/>
        <v>0</v>
      </c>
      <c r="AD7" s="92">
        <f t="shared" ref="AD7" si="15">AC7/AC$5</f>
        <v>0</v>
      </c>
      <c r="AE7" s="144"/>
      <c r="AF7" s="64">
        <f t="shared" si="1"/>
        <v>0</v>
      </c>
      <c r="AG7" s="27" t="e">
        <f>'400'!#REF!+#REF!+#REF!+#REF!+'404'!#REF!+#REF!+#REF!+#REF!+#REF!+#REF!+#REF!</f>
        <v>#REF!</v>
      </c>
      <c r="AH7" s="27" t="e">
        <f>AA7-AG7</f>
        <v>#REF!</v>
      </c>
      <c r="AI7" s="27">
        <f>'400'!AA7+'404'!AA7+'411'!AA7</f>
        <v>0</v>
      </c>
    </row>
    <row r="8" spans="1:36" customFormat="1">
      <c r="A8" s="1">
        <v>5052</v>
      </c>
      <c r="B8" s="1" t="s">
        <v>90</v>
      </c>
      <c r="C8" s="190">
        <f>'400'!C8+'404'!C8+'411'!C8+'425'!C8+'426'!C8</f>
        <v>0</v>
      </c>
      <c r="D8" s="49">
        <f t="shared" si="2"/>
        <v>0</v>
      </c>
      <c r="E8" s="190">
        <f>'400'!E8+'404'!E8+'411'!E8+'425'!E8+'426'!E8</f>
        <v>0</v>
      </c>
      <c r="F8" s="49">
        <f t="shared" si="3"/>
        <v>0</v>
      </c>
      <c r="G8" s="190">
        <f>'400'!G8+'404'!G8+'411'!G8+'425'!G8+'426'!G8</f>
        <v>0</v>
      </c>
      <c r="H8" s="49">
        <f t="shared" si="4"/>
        <v>0</v>
      </c>
      <c r="I8" s="190">
        <f>'400'!I8+'404'!I8+'411'!I8+'425'!I8+'426'!I8</f>
        <v>0</v>
      </c>
      <c r="J8" s="49">
        <f t="shared" si="5"/>
        <v>0</v>
      </c>
      <c r="K8" s="190">
        <f>'400'!K8+'404'!K8+'411'!K8+'425'!K8+'426'!K8</f>
        <v>0</v>
      </c>
      <c r="L8" s="49">
        <f t="shared" si="6"/>
        <v>0</v>
      </c>
      <c r="M8" s="190">
        <f>'400'!M8+'404'!M8+'411'!M8+'425'!M8+'426'!M8</f>
        <v>0</v>
      </c>
      <c r="N8" s="49">
        <f t="shared" si="7"/>
        <v>0</v>
      </c>
      <c r="O8" s="190">
        <f>'400'!O8+'404'!O8+'411'!O8+'425'!O8+'426'!O8</f>
        <v>0</v>
      </c>
      <c r="P8" s="49">
        <f t="shared" si="8"/>
        <v>0</v>
      </c>
      <c r="Q8" s="190">
        <f>'400'!Q8+'404'!Q8+'411'!Q8+'425'!Q8+'426'!Q8</f>
        <v>0</v>
      </c>
      <c r="R8" s="49">
        <f t="shared" si="9"/>
        <v>0</v>
      </c>
      <c r="S8" s="190">
        <f>'400'!S8+'404'!S8+'411'!S8+'425'!S8+'426'!S8</f>
        <v>0</v>
      </c>
      <c r="T8" s="49">
        <f t="shared" si="10"/>
        <v>0</v>
      </c>
      <c r="U8" s="190">
        <f>'400'!U8+'404'!U8+'411'!U8+'425'!U8+'426'!U8</f>
        <v>0</v>
      </c>
      <c r="V8" s="49">
        <f t="shared" si="11"/>
        <v>0</v>
      </c>
      <c r="W8" s="190">
        <f>'400'!W8+'404'!W8+'411'!W8+'425'!W8+'426'!W8</f>
        <v>0</v>
      </c>
      <c r="X8" s="49">
        <f t="shared" si="12"/>
        <v>0</v>
      </c>
      <c r="Y8" s="190">
        <f>'400'!Y8+'404'!Y8+'411'!Y8+'425'!Y8+'426'!Y8</f>
        <v>0</v>
      </c>
      <c r="Z8" s="49">
        <f t="shared" si="13"/>
        <v>0</v>
      </c>
      <c r="AA8" s="320">
        <f>'400'!AA8+'404'!AA8+'411'!AA8+'425'!AA8+'426'!AA8</f>
        <v>0</v>
      </c>
      <c r="AB8" s="108">
        <f t="shared" ref="AB8" si="16">AA8/AA$5</f>
        <v>0</v>
      </c>
      <c r="AC8" s="89">
        <f t="shared" si="0"/>
        <v>0</v>
      </c>
      <c r="AD8" s="92">
        <f t="shared" ref="AD8" si="17">AC8/AC$5</f>
        <v>0</v>
      </c>
      <c r="AE8" s="144"/>
      <c r="AF8" s="64">
        <f t="shared" si="1"/>
        <v>0</v>
      </c>
      <c r="AG8" s="27" t="e">
        <f>'400'!#REF!+#REF!+#REF!+#REF!+'404'!#REF!+#REF!+#REF!+#REF!+#REF!+#REF!+#REF!</f>
        <v>#REF!</v>
      </c>
      <c r="AH8" s="27" t="e">
        <f>AA8-AG8</f>
        <v>#REF!</v>
      </c>
      <c r="AI8" s="27">
        <f>'400'!AA8+'404'!AA8+'411'!AA8</f>
        <v>0</v>
      </c>
    </row>
    <row r="9" spans="1:36" customFormat="1">
      <c r="A9" s="1">
        <v>5101</v>
      </c>
      <c r="B9" s="1" t="s">
        <v>46</v>
      </c>
      <c r="C9" s="190">
        <f>'400'!C9+'404'!C9+'411'!C9+'425'!C9+'426'!C9</f>
        <v>267591.01427821734</v>
      </c>
      <c r="D9" s="49">
        <f t="shared" si="2"/>
        <v>0.28057548244886837</v>
      </c>
      <c r="E9" s="190">
        <f>'400'!E9+'404'!E9+'411'!E9+'425'!E9+'426'!E9</f>
        <v>170819.54454388615</v>
      </c>
      <c r="F9" s="49">
        <f t="shared" si="3"/>
        <v>0.2424244098391633</v>
      </c>
      <c r="G9" s="190">
        <f>'400'!G9+'404'!G9+'411'!G9+'425'!G9+'426'!G9</f>
        <v>398463.48732747865</v>
      </c>
      <c r="H9" s="49">
        <f t="shared" si="4"/>
        <v>0.31034481676438341</v>
      </c>
      <c r="I9" s="190">
        <f>'400'!I9+'404'!I9+'411'!I9+'425'!I9+'426'!I9</f>
        <v>281472.79390397295</v>
      </c>
      <c r="J9" s="49">
        <f t="shared" si="5"/>
        <v>0.26470588235294118</v>
      </c>
      <c r="K9" s="190">
        <f>'400'!K9+'404'!K9+'411'!K9+'425'!K9+'426'!K9</f>
        <v>185925.67059810969</v>
      </c>
      <c r="L9" s="49">
        <f t="shared" si="6"/>
        <v>0.20634920634958873</v>
      </c>
      <c r="M9" s="190">
        <f>'400'!M9+'404'!M9+'411'!M9+'425'!M9+'426'!M9</f>
        <v>405600.04111711704</v>
      </c>
      <c r="N9" s="49">
        <f t="shared" si="7"/>
        <v>0.28571428571428564</v>
      </c>
      <c r="O9" s="190">
        <f>'400'!O9+'404'!O9+'411'!O9+'425'!O9+'426'!O9</f>
        <v>256789.65338763301</v>
      </c>
      <c r="P9" s="49">
        <f t="shared" si="8"/>
        <v>0.2857142857142857</v>
      </c>
      <c r="Q9" s="190">
        <f>'400'!Q9+'404'!Q9+'411'!Q9+'425'!Q9+'426'!Q9</f>
        <v>310894.09398452519</v>
      </c>
      <c r="R9" s="49">
        <f t="shared" si="9"/>
        <v>0.28057553956834524</v>
      </c>
      <c r="S9" s="190">
        <f>'400'!S9+'404'!S9+'411'!S9+'425'!S9+'426'!S9</f>
        <v>240914.05172555055</v>
      </c>
      <c r="T9" s="49">
        <f t="shared" si="10"/>
        <v>0.23076923076923087</v>
      </c>
      <c r="U9" s="190">
        <f>'400'!U9+'404'!U9+'411'!U9+'425'!U9+'426'!U9</f>
        <v>229313.51858473584</v>
      </c>
      <c r="V9" s="49">
        <f t="shared" si="11"/>
        <v>0.26470588235294129</v>
      </c>
      <c r="W9" s="190">
        <f>'400'!W9+'404'!W9+'411'!W9+'425'!W9+'426'!W9</f>
        <v>123137.46788358773</v>
      </c>
      <c r="X9" s="49">
        <f t="shared" si="12"/>
        <v>0.15966386554621856</v>
      </c>
      <c r="Y9" s="190">
        <f>'400'!Y9+'404'!Y9+'411'!Y9+'425'!Y9+'426'!Y9</f>
        <v>332876.59920912422</v>
      </c>
      <c r="Z9" s="49">
        <f t="shared" si="13"/>
        <v>0.2537313432835821</v>
      </c>
      <c r="AA9" s="320">
        <f>'400'!AA9+'404'!AA9+'411'!AA9+'425'!AA9+'426'!AA9</f>
        <v>3203797.9365439387</v>
      </c>
      <c r="AB9" s="108">
        <f t="shared" ref="AB9" si="18">AA9/AA$5</f>
        <v>0.25991162103681043</v>
      </c>
      <c r="AC9" s="89">
        <f t="shared" si="0"/>
        <v>266983.16137866158</v>
      </c>
      <c r="AD9" s="92">
        <f t="shared" ref="AD9" si="19">AC9/AC$5</f>
        <v>0.25991162103681048</v>
      </c>
      <c r="AE9" s="144"/>
      <c r="AF9" s="64">
        <f t="shared" si="1"/>
        <v>3203797.9365439382</v>
      </c>
      <c r="AG9" s="27" t="e">
        <f>'400'!#REF!+#REF!+#REF!+#REF!+'404'!#REF!+#REF!+#REF!+#REF!+#REF!+#REF!+#REF!</f>
        <v>#REF!</v>
      </c>
      <c r="AH9" s="27" t="e">
        <f>AA9-AG9</f>
        <v>#REF!</v>
      </c>
      <c r="AI9" s="27">
        <f>'400'!AA9+'404'!AA9+'411'!AA9</f>
        <v>1787758.7771937819</v>
      </c>
    </row>
    <row r="10" spans="1:36" s="1" customFormat="1">
      <c r="A10" s="1">
        <v>5102</v>
      </c>
      <c r="B10" s="1" t="s">
        <v>196</v>
      </c>
      <c r="C10" s="190">
        <f>'400'!C10+'404'!C10+'411'!C10+'425'!C10+'426'!C10</f>
        <v>0</v>
      </c>
      <c r="D10" s="49">
        <f t="shared" si="2"/>
        <v>0</v>
      </c>
      <c r="E10" s="190">
        <f>'400'!E10+'404'!E10+'411'!E10+'425'!E10+'426'!E10</f>
        <v>0</v>
      </c>
      <c r="F10" s="49">
        <f t="shared" si="3"/>
        <v>0</v>
      </c>
      <c r="G10" s="190">
        <f>'400'!G10+'404'!G10+'411'!G10+'425'!G10+'426'!G10</f>
        <v>0</v>
      </c>
      <c r="H10" s="49">
        <f t="shared" si="4"/>
        <v>0</v>
      </c>
      <c r="I10" s="190">
        <f>'400'!I10+'404'!I10+'411'!I10+'425'!I10+'426'!I10</f>
        <v>0</v>
      </c>
      <c r="J10" s="49">
        <f t="shared" si="5"/>
        <v>0</v>
      </c>
      <c r="K10" s="190">
        <f>'400'!K10+'404'!K10+'411'!K10+'425'!K10+'426'!K10</f>
        <v>0</v>
      </c>
      <c r="L10" s="49">
        <f t="shared" si="6"/>
        <v>0</v>
      </c>
      <c r="M10" s="190">
        <f>'400'!M10+'404'!M10+'411'!M10+'425'!M10+'426'!M10</f>
        <v>0</v>
      </c>
      <c r="N10" s="49">
        <f t="shared" si="7"/>
        <v>0</v>
      </c>
      <c r="O10" s="190">
        <f>'400'!O10+'404'!O10+'411'!O10+'425'!O10+'426'!O10</f>
        <v>0</v>
      </c>
      <c r="P10" s="49">
        <f t="shared" si="8"/>
        <v>0</v>
      </c>
      <c r="Q10" s="190">
        <f>'400'!Q10+'404'!Q10+'411'!Q10+'425'!Q10+'426'!Q10</f>
        <v>0</v>
      </c>
      <c r="R10" s="49">
        <f t="shared" si="9"/>
        <v>0</v>
      </c>
      <c r="S10" s="190">
        <f>'400'!S10+'404'!S10+'411'!S10+'425'!S10+'426'!S10</f>
        <v>0</v>
      </c>
      <c r="T10" s="49">
        <f t="shared" si="10"/>
        <v>0</v>
      </c>
      <c r="U10" s="190">
        <f>'400'!U10+'404'!U10+'411'!U10+'425'!U10+'426'!U10</f>
        <v>0</v>
      </c>
      <c r="V10" s="49">
        <f t="shared" si="11"/>
        <v>0</v>
      </c>
      <c r="W10" s="190">
        <f>'400'!W10+'404'!W10+'411'!W10+'425'!W10+'426'!W10</f>
        <v>0</v>
      </c>
      <c r="X10" s="49">
        <f t="shared" si="12"/>
        <v>0</v>
      </c>
      <c r="Y10" s="190">
        <f>'400'!Y10+'404'!Y10+'411'!Y10+'425'!Y10+'426'!Y10</f>
        <v>0</v>
      </c>
      <c r="Z10" s="49">
        <f t="shared" si="13"/>
        <v>0</v>
      </c>
      <c r="AA10" s="320">
        <f>'400'!AA10+'404'!AA10+'411'!AA10+'425'!AA10+'426'!AA10</f>
        <v>0</v>
      </c>
      <c r="AB10" s="108">
        <f t="shared" ref="AB10" si="20">AA10/AA$5</f>
        <v>0</v>
      </c>
      <c r="AC10" s="89">
        <f t="shared" ref="AC10:AC11" si="21">AA10/12</f>
        <v>0</v>
      </c>
      <c r="AD10" s="92">
        <f t="shared" ref="AD10" si="22">AC10/AC$5</f>
        <v>0</v>
      </c>
      <c r="AE10" s="144"/>
      <c r="AF10" s="64">
        <f t="shared" si="1"/>
        <v>0</v>
      </c>
      <c r="AG10" s="27"/>
      <c r="AH10" s="27"/>
      <c r="AI10" s="27">
        <f>'400'!AA10+'404'!AA10+'411'!AA10</f>
        <v>0</v>
      </c>
    </row>
    <row r="11" spans="1:36" customFormat="1">
      <c r="A11" s="1">
        <v>5103</v>
      </c>
      <c r="B11" s="1" t="s">
        <v>63</v>
      </c>
      <c r="C11" s="190">
        <f>'400'!C11+'404'!C11+'411'!C11+'425'!C11+'426'!C11</f>
        <v>0</v>
      </c>
      <c r="D11" s="49">
        <f t="shared" si="2"/>
        <v>0</v>
      </c>
      <c r="E11" s="190">
        <f>'400'!E11+'404'!E11+'411'!E11+'425'!E11+'426'!E11</f>
        <v>0</v>
      </c>
      <c r="F11" s="49">
        <f t="shared" si="3"/>
        <v>0</v>
      </c>
      <c r="G11" s="190">
        <f>'400'!G11+'404'!G11+'411'!G11+'425'!G11+'426'!G11</f>
        <v>0</v>
      </c>
      <c r="H11" s="49">
        <f t="shared" si="4"/>
        <v>0</v>
      </c>
      <c r="I11" s="190">
        <f>'400'!I11+'404'!I11+'411'!I11+'425'!I11+'426'!I11</f>
        <v>0</v>
      </c>
      <c r="J11" s="49">
        <f t="shared" si="5"/>
        <v>0</v>
      </c>
      <c r="K11" s="190">
        <f>'400'!K11+'404'!K11+'411'!K11+'425'!K11+'426'!K11</f>
        <v>0</v>
      </c>
      <c r="L11" s="49">
        <f t="shared" si="6"/>
        <v>0</v>
      </c>
      <c r="M11" s="190">
        <f>'400'!M11+'404'!M11+'411'!M11+'425'!M11+'426'!M11</f>
        <v>0</v>
      </c>
      <c r="N11" s="49">
        <f t="shared" si="7"/>
        <v>0</v>
      </c>
      <c r="O11" s="190">
        <f>'400'!O11+'404'!O11+'411'!O11+'425'!O11+'426'!O11</f>
        <v>0</v>
      </c>
      <c r="P11" s="49">
        <f t="shared" si="8"/>
        <v>0</v>
      </c>
      <c r="Q11" s="190">
        <f>'400'!Q11+'404'!Q11+'411'!Q11+'425'!Q11+'426'!Q11</f>
        <v>0</v>
      </c>
      <c r="R11" s="49">
        <f t="shared" si="9"/>
        <v>0</v>
      </c>
      <c r="S11" s="190">
        <f>'400'!S11+'404'!S11+'411'!S11+'425'!S11+'426'!S11</f>
        <v>0</v>
      </c>
      <c r="T11" s="49">
        <f t="shared" si="10"/>
        <v>0</v>
      </c>
      <c r="U11" s="190">
        <f>'400'!U11+'404'!U11+'411'!U11+'425'!U11+'426'!U11</f>
        <v>0</v>
      </c>
      <c r="V11" s="49">
        <f t="shared" si="11"/>
        <v>0</v>
      </c>
      <c r="W11" s="190">
        <f>'400'!W11+'404'!W11+'411'!W11+'425'!W11+'426'!W11</f>
        <v>0</v>
      </c>
      <c r="X11" s="49">
        <f t="shared" si="12"/>
        <v>0</v>
      </c>
      <c r="Y11" s="190">
        <f>'400'!Y11+'404'!Y11+'411'!Y11+'425'!Y11+'426'!Y11</f>
        <v>0</v>
      </c>
      <c r="Z11" s="49">
        <f t="shared" si="13"/>
        <v>0</v>
      </c>
      <c r="AA11" s="320">
        <f>'400'!AA11+'404'!AA11+'411'!AA11+'425'!AA11+'426'!AA11</f>
        <v>0</v>
      </c>
      <c r="AB11" s="108">
        <f t="shared" ref="AB11" si="23">AA11/AA$5</f>
        <v>0</v>
      </c>
      <c r="AC11" s="89">
        <f t="shared" si="21"/>
        <v>0</v>
      </c>
      <c r="AD11" s="92">
        <f t="shared" ref="AD11" si="24">AC11/AC$5</f>
        <v>0</v>
      </c>
      <c r="AE11" s="144"/>
      <c r="AF11" s="64">
        <f t="shared" si="1"/>
        <v>0</v>
      </c>
      <c r="AG11" s="27" t="e">
        <f>'400'!#REF!+#REF!+#REF!+#REF!+'404'!#REF!+#REF!+#REF!+#REF!+#REF!+#REF!+#REF!</f>
        <v>#REF!</v>
      </c>
      <c r="AH11" s="27" t="e">
        <f t="shared" ref="AH11:AH42" si="25">AA11-AG11</f>
        <v>#REF!</v>
      </c>
      <c r="AI11" s="27">
        <f>'400'!AA11+'404'!AA11+'411'!AA11</f>
        <v>0</v>
      </c>
    </row>
    <row r="12" spans="1:36" customFormat="1" ht="15.75" thickBot="1">
      <c r="A12" s="249">
        <v>5149</v>
      </c>
      <c r="B12" s="249" t="s">
        <v>66</v>
      </c>
      <c r="C12" s="236">
        <f>'400'!C12+'404'!C12+'411'!C12+'425'!C12+'426'!C12</f>
        <v>686131</v>
      </c>
      <c r="D12" s="237">
        <v>1</v>
      </c>
      <c r="E12" s="236">
        <f>'400'!E12+'404'!E12+'411'!E12+'425'!E12+'426'!E12</f>
        <v>533810.59009155142</v>
      </c>
      <c r="F12" s="237">
        <v>1</v>
      </c>
      <c r="G12" s="236">
        <f>'400'!G12+'404'!G12+'411'!G12+'425'!G12+'426'!G12</f>
        <v>885474.46105461312</v>
      </c>
      <c r="H12" s="237">
        <v>1</v>
      </c>
      <c r="I12" s="236">
        <f>'400'!I12+'404'!I12+'411'!I12+'425'!I12+'426'!I12</f>
        <v>781868.87195548043</v>
      </c>
      <c r="J12" s="237">
        <v>1</v>
      </c>
      <c r="K12" s="236">
        <f>'400'!K12+'404'!K12+'411'!K12+'425'!K12+'426'!K12</f>
        <v>715098.73306798295</v>
      </c>
      <c r="L12" s="237">
        <v>1</v>
      </c>
      <c r="M12" s="236">
        <f>'400'!M12+'404'!M12+'411'!M12+'425'!M12+'426'!M12</f>
        <v>1014000.102792793</v>
      </c>
      <c r="N12" s="237">
        <v>1</v>
      </c>
      <c r="O12" s="236">
        <f>'400'!O12+'404'!O12+'411'!O12+'425'!O12+'426'!O12</f>
        <v>641974.13346908253</v>
      </c>
      <c r="P12" s="237">
        <v>1</v>
      </c>
      <c r="Q12" s="236">
        <f>'400'!Q12+'404'!Q12+'411'!Q12+'425'!Q12+'426'!Q12</f>
        <v>797164.34355006483</v>
      </c>
      <c r="R12" s="237">
        <v>1</v>
      </c>
      <c r="S12" s="236">
        <f>'400'!S12+'404'!S12+'411'!S12+'425'!S12+'426'!S12</f>
        <v>803046.83908516797</v>
      </c>
      <c r="T12" s="237">
        <v>1</v>
      </c>
      <c r="U12" s="236">
        <f>'400'!U12+'404'!U12+'411'!U12+'425'!U12+'426'!U12</f>
        <v>636981.99606871011</v>
      </c>
      <c r="V12" s="237">
        <v>1</v>
      </c>
      <c r="W12" s="236">
        <f>'400'!W12+'404'!W12+'411'!W12+'425'!W12+'426'!W12</f>
        <v>648091.93622940895</v>
      </c>
      <c r="X12" s="237">
        <v>1</v>
      </c>
      <c r="Y12" s="236">
        <f>'400'!Y12+'404'!Y12+'411'!Y12+'425'!Y12+'426'!Y12</f>
        <v>979048.82120330655</v>
      </c>
      <c r="Z12" s="237">
        <v>1</v>
      </c>
      <c r="AA12" s="321">
        <f>'400'!AA12+'404'!AA12+'411'!AA12+'425'!AA12+'426'!AA12</f>
        <v>9122691.8285681624</v>
      </c>
      <c r="AB12" s="250">
        <v>1</v>
      </c>
      <c r="AC12" s="238">
        <f>AC5+AC6-AC7-AC8-AC9-AC10+AC11</f>
        <v>760224.31904734671</v>
      </c>
      <c r="AD12" s="250">
        <v>1</v>
      </c>
      <c r="AE12" s="286"/>
      <c r="AF12" s="64">
        <f t="shared" si="1"/>
        <v>9122691.8285681624</v>
      </c>
      <c r="AG12" s="27" t="e">
        <f>'400'!#REF!+#REF!+#REF!+#REF!+'404'!#REF!+#REF!+#REF!+#REF!+#REF!+#REF!+#REF!</f>
        <v>#REF!</v>
      </c>
      <c r="AH12" s="27" t="e">
        <f t="shared" si="25"/>
        <v>#REF!</v>
      </c>
      <c r="AI12" s="27">
        <f>'400'!AA12+'404'!AA12+'411'!AA12</f>
        <v>5090575.6943094581</v>
      </c>
      <c r="AJ12" s="64">
        <f>AA12*5.09</f>
        <v>46434501.407411948</v>
      </c>
    </row>
    <row r="13" spans="1:36" customFormat="1" ht="15.75" thickTop="1">
      <c r="A13" s="1">
        <v>5151</v>
      </c>
      <c r="B13" s="1" t="s">
        <v>47</v>
      </c>
      <c r="C13" s="190">
        <f>'400'!C13+'404'!C13+'411'!C13+'425'!C13+'426'!C13</f>
        <v>0</v>
      </c>
      <c r="D13" s="49">
        <f>C13/C$12</f>
        <v>0</v>
      </c>
      <c r="E13" s="190">
        <f>'400'!E13+'404'!E13+'411'!E13+'425'!E13+'426'!E13</f>
        <v>0</v>
      </c>
      <c r="F13" s="49">
        <f>E13/E$12</f>
        <v>0</v>
      </c>
      <c r="G13" s="190">
        <f>'400'!G13+'404'!G13+'411'!G13+'425'!G13+'426'!G13</f>
        <v>0</v>
      </c>
      <c r="H13" s="49">
        <f>G13/G$12</f>
        <v>0</v>
      </c>
      <c r="I13" s="190">
        <f>'400'!I13+'404'!I13+'411'!I13+'425'!I13+'426'!I13</f>
        <v>0</v>
      </c>
      <c r="J13" s="49">
        <f>I13/I$12</f>
        <v>0</v>
      </c>
      <c r="K13" s="190">
        <f>'400'!K13+'404'!K13+'411'!K13+'425'!K13+'426'!K13</f>
        <v>0</v>
      </c>
      <c r="L13" s="49">
        <f>K13/K$12</f>
        <v>0</v>
      </c>
      <c r="M13" s="190">
        <f>'400'!M13+'404'!M13+'411'!M13+'425'!M13+'426'!M13</f>
        <v>0</v>
      </c>
      <c r="N13" s="49">
        <f>M13/M$12</f>
        <v>0</v>
      </c>
      <c r="O13" s="190">
        <f>'400'!O13+'404'!O13+'411'!O13+'425'!O13+'426'!O13</f>
        <v>0</v>
      </c>
      <c r="P13" s="49">
        <f>O13/O$12</f>
        <v>0</v>
      </c>
      <c r="Q13" s="190">
        <f>'400'!Q13+'404'!Q13+'411'!Q13+'425'!Q13+'426'!Q13</f>
        <v>0</v>
      </c>
      <c r="R13" s="49">
        <f>Q13/Q$12</f>
        <v>0</v>
      </c>
      <c r="S13" s="190">
        <f>'400'!S13+'404'!S13+'411'!S13+'425'!S13+'426'!S13</f>
        <v>0</v>
      </c>
      <c r="T13" s="49">
        <f>S13/S$12</f>
        <v>0</v>
      </c>
      <c r="U13" s="190">
        <f>'400'!U13+'404'!U13+'411'!U13+'425'!U13+'426'!U13</f>
        <v>0</v>
      </c>
      <c r="V13" s="49">
        <f>U13/U$12</f>
        <v>0</v>
      </c>
      <c r="W13" s="190">
        <f>'400'!W13+'404'!W13+'411'!W13+'425'!W13+'426'!W13</f>
        <v>0</v>
      </c>
      <c r="X13" s="49">
        <f>W13/W$12</f>
        <v>0</v>
      </c>
      <c r="Y13" s="190">
        <f>'400'!Y13+'404'!Y13+'411'!Y13+'425'!Y13+'426'!Y13</f>
        <v>0</v>
      </c>
      <c r="Z13" s="49">
        <f>Y13/Y$12</f>
        <v>0</v>
      </c>
      <c r="AA13" s="320">
        <f>'400'!AA13+'404'!AA13+'411'!AA13+'425'!AA13+'426'!AA13</f>
        <v>0</v>
      </c>
      <c r="AB13" s="108">
        <f>AA13/AA$12</f>
        <v>0</v>
      </c>
      <c r="AC13" s="89">
        <f t="shared" si="0"/>
        <v>0</v>
      </c>
      <c r="AD13" s="92">
        <f>AC13/AC$12</f>
        <v>0</v>
      </c>
      <c r="AE13" s="144"/>
      <c r="AF13" s="64">
        <f t="shared" si="1"/>
        <v>0</v>
      </c>
      <c r="AG13" s="27" t="e">
        <f>'400'!#REF!+#REF!+#REF!+#REF!+'404'!#REF!+#REF!+#REF!+#REF!+#REF!+#REF!+#REF!</f>
        <v>#REF!</v>
      </c>
      <c r="AH13" s="27" t="e">
        <f t="shared" si="25"/>
        <v>#REF!</v>
      </c>
      <c r="AI13" s="27">
        <f>'400'!AA13+'404'!AA13+'411'!AA13</f>
        <v>0</v>
      </c>
    </row>
    <row r="14" spans="1:36" customFormat="1">
      <c r="A14" s="1">
        <v>5152</v>
      </c>
      <c r="B14" s="1" t="s">
        <v>48</v>
      </c>
      <c r="C14" s="190">
        <f>'400'!C14+'404'!C14+'411'!C14+'425'!C14+'426'!C14</f>
        <v>0</v>
      </c>
      <c r="D14" s="49">
        <f t="shared" ref="D14:D15" si="26">C14/C$12</f>
        <v>0</v>
      </c>
      <c r="E14" s="190">
        <f>'400'!E14+'404'!E14+'411'!E14+'425'!E14+'426'!E14</f>
        <v>0</v>
      </c>
      <c r="F14" s="49">
        <f t="shared" ref="F14:F15" si="27">E14/E$12</f>
        <v>0</v>
      </c>
      <c r="G14" s="190">
        <f>'400'!G14+'404'!G14+'411'!G14+'425'!G14+'426'!G14</f>
        <v>0</v>
      </c>
      <c r="H14" s="49">
        <f t="shared" ref="H14:H15" si="28">G14/G$12</f>
        <v>0</v>
      </c>
      <c r="I14" s="190">
        <f>'400'!I14+'404'!I14+'411'!I14+'425'!I14+'426'!I14</f>
        <v>0</v>
      </c>
      <c r="J14" s="49">
        <f t="shared" ref="J14:J15" si="29">I14/I$12</f>
        <v>0</v>
      </c>
      <c r="K14" s="190">
        <f>'400'!K14+'404'!K14+'411'!K14+'425'!K14+'426'!K14</f>
        <v>0</v>
      </c>
      <c r="L14" s="49">
        <f t="shared" ref="L14:L15" si="30">K14/K$12</f>
        <v>0</v>
      </c>
      <c r="M14" s="190">
        <f>'400'!M14+'404'!M14+'411'!M14+'425'!M14+'426'!M14</f>
        <v>0</v>
      </c>
      <c r="N14" s="49">
        <f t="shared" ref="N14:N15" si="31">M14/M$12</f>
        <v>0</v>
      </c>
      <c r="O14" s="190">
        <f>'400'!O14+'404'!O14+'411'!O14+'425'!O14+'426'!O14</f>
        <v>0</v>
      </c>
      <c r="P14" s="49">
        <f t="shared" ref="P14:P15" si="32">O14/O$12</f>
        <v>0</v>
      </c>
      <c r="Q14" s="190">
        <f>'400'!Q14+'404'!Q14+'411'!Q14+'425'!Q14+'426'!Q14</f>
        <v>0</v>
      </c>
      <c r="R14" s="49">
        <f t="shared" ref="R14:R15" si="33">Q14/Q$12</f>
        <v>0</v>
      </c>
      <c r="S14" s="190">
        <f>'400'!S14+'404'!S14+'411'!S14+'425'!S14+'426'!S14</f>
        <v>0</v>
      </c>
      <c r="T14" s="49">
        <f t="shared" ref="T14:T15" si="34">S14/S$12</f>
        <v>0</v>
      </c>
      <c r="U14" s="190">
        <f>'400'!U14+'404'!U14+'411'!U14+'425'!U14+'426'!U14</f>
        <v>0</v>
      </c>
      <c r="V14" s="49">
        <f t="shared" ref="V14:V15" si="35">U14/U$12</f>
        <v>0</v>
      </c>
      <c r="W14" s="190">
        <f>'400'!W14+'404'!W14+'411'!W14+'425'!W14+'426'!W14</f>
        <v>0</v>
      </c>
      <c r="X14" s="49">
        <f t="shared" ref="X14:X15" si="36">W14/W$12</f>
        <v>0</v>
      </c>
      <c r="Y14" s="190">
        <f>'400'!Y14+'404'!Y14+'411'!Y14+'425'!Y14+'426'!Y14</f>
        <v>0</v>
      </c>
      <c r="Z14" s="49">
        <f t="shared" ref="Z14:Z15" si="37">Y14/Y$12</f>
        <v>0</v>
      </c>
      <c r="AA14" s="320">
        <f>'400'!AA14+'404'!AA14+'411'!AA14+'425'!AA14+'426'!AA14</f>
        <v>0</v>
      </c>
      <c r="AB14" s="108">
        <f t="shared" ref="AB14:AB15" si="38">AA14/AA$12</f>
        <v>0</v>
      </c>
      <c r="AC14" s="89">
        <f t="shared" si="0"/>
        <v>0</v>
      </c>
      <c r="AD14" s="92">
        <f t="shared" ref="AD14:AD15" si="39">AC14/AC$12</f>
        <v>0</v>
      </c>
      <c r="AE14" s="144"/>
      <c r="AF14" s="64">
        <f t="shared" si="1"/>
        <v>0</v>
      </c>
      <c r="AG14" s="27" t="e">
        <f>'400'!#REF!+#REF!+#REF!+#REF!+'404'!#REF!+#REF!+#REF!+#REF!+#REF!+#REF!+#REF!</f>
        <v>#REF!</v>
      </c>
      <c r="AH14" s="27" t="e">
        <f t="shared" si="25"/>
        <v>#REF!</v>
      </c>
      <c r="AI14" s="27">
        <f>'400'!AA14+'404'!AA14+'411'!AA14</f>
        <v>0</v>
      </c>
    </row>
    <row r="15" spans="1:36" customFormat="1">
      <c r="A15" s="251">
        <v>5198</v>
      </c>
      <c r="B15" s="251" t="s">
        <v>94</v>
      </c>
      <c r="C15" s="252">
        <f>'400'!C15+'404'!C15+'411'!C15+'425'!C15+'426'!C15</f>
        <v>0</v>
      </c>
      <c r="D15" s="253">
        <f t="shared" si="26"/>
        <v>0</v>
      </c>
      <c r="E15" s="252">
        <f>'400'!E15+'404'!E15+'411'!E15+'425'!E15+'426'!E15</f>
        <v>0</v>
      </c>
      <c r="F15" s="253">
        <f t="shared" si="27"/>
        <v>0</v>
      </c>
      <c r="G15" s="252">
        <f>'400'!G15+'404'!G15+'411'!G15+'425'!G15+'426'!G15</f>
        <v>0</v>
      </c>
      <c r="H15" s="253">
        <f t="shared" si="28"/>
        <v>0</v>
      </c>
      <c r="I15" s="252">
        <f>'400'!I15+'404'!I15+'411'!I15+'425'!I15+'426'!I15</f>
        <v>0</v>
      </c>
      <c r="J15" s="253">
        <f t="shared" si="29"/>
        <v>0</v>
      </c>
      <c r="K15" s="252">
        <f>'400'!K15+'404'!K15+'411'!K15+'425'!K15+'426'!K15</f>
        <v>0</v>
      </c>
      <c r="L15" s="253">
        <f t="shared" si="30"/>
        <v>0</v>
      </c>
      <c r="M15" s="252">
        <f>'400'!M15+'404'!M15+'411'!M15+'425'!M15+'426'!M15</f>
        <v>0</v>
      </c>
      <c r="N15" s="253">
        <f t="shared" si="31"/>
        <v>0</v>
      </c>
      <c r="O15" s="252">
        <f>'400'!O15+'404'!O15+'411'!O15+'425'!O15+'426'!O15</f>
        <v>0</v>
      </c>
      <c r="P15" s="253">
        <f t="shared" si="32"/>
        <v>0</v>
      </c>
      <c r="Q15" s="252">
        <f>'400'!Q15+'404'!Q15+'411'!Q15+'425'!Q15+'426'!Q15</f>
        <v>0</v>
      </c>
      <c r="R15" s="253">
        <f t="shared" si="33"/>
        <v>0</v>
      </c>
      <c r="S15" s="252">
        <f>'400'!S15+'404'!S15+'411'!S15+'425'!S15+'426'!S15</f>
        <v>0</v>
      </c>
      <c r="T15" s="253">
        <f t="shared" si="34"/>
        <v>0</v>
      </c>
      <c r="U15" s="252">
        <f>'400'!U15+'404'!U15+'411'!U15+'425'!U15+'426'!U15</f>
        <v>0</v>
      </c>
      <c r="V15" s="253">
        <f t="shared" si="35"/>
        <v>0</v>
      </c>
      <c r="W15" s="252">
        <f>'400'!W15+'404'!W15+'411'!W15+'425'!W15+'426'!W15</f>
        <v>0</v>
      </c>
      <c r="X15" s="253">
        <f t="shared" si="36"/>
        <v>0</v>
      </c>
      <c r="Y15" s="252">
        <f>'400'!Y15+'404'!Y15+'411'!Y15+'425'!Y15+'426'!Y15</f>
        <v>0</v>
      </c>
      <c r="Z15" s="253">
        <f t="shared" si="37"/>
        <v>0</v>
      </c>
      <c r="AA15" s="322">
        <f>'400'!AA15+'404'!AA15+'411'!AA15+'425'!AA15+'426'!AA15</f>
        <v>0</v>
      </c>
      <c r="AB15" s="253">
        <f t="shared" si="38"/>
        <v>0</v>
      </c>
      <c r="AC15" s="254">
        <f>AC13+AC14</f>
        <v>0</v>
      </c>
      <c r="AD15" s="253">
        <f t="shared" si="39"/>
        <v>0</v>
      </c>
      <c r="AE15" s="144"/>
      <c r="AF15" s="64">
        <f t="shared" si="1"/>
        <v>0</v>
      </c>
      <c r="AG15" s="27" t="e">
        <f>'400'!#REF!+#REF!+#REF!+#REF!+'404'!#REF!+#REF!+#REF!+#REF!+#REF!+#REF!+#REF!</f>
        <v>#REF!</v>
      </c>
      <c r="AH15" s="27" t="e">
        <f t="shared" si="25"/>
        <v>#REF!</v>
      </c>
      <c r="AI15" s="27">
        <f>'400'!AA15+'404'!AA15+'411'!AA15</f>
        <v>0</v>
      </c>
    </row>
    <row r="16" spans="1:36" customFormat="1" ht="15.75" thickBot="1">
      <c r="A16" s="28">
        <v>5199</v>
      </c>
      <c r="B16" s="28" t="s">
        <v>70</v>
      </c>
      <c r="C16" s="34">
        <f>'400'!C16+'404'!C16+'411'!C16+'425'!C16+'426'!C16</f>
        <v>686131</v>
      </c>
      <c r="D16" s="80">
        <f>C16/C12</f>
        <v>1</v>
      </c>
      <c r="E16" s="34">
        <f>'400'!E16+'404'!E16+'411'!E16+'425'!E16+'426'!E16</f>
        <v>533810.59009155142</v>
      </c>
      <c r="F16" s="80">
        <f>E16/E12</f>
        <v>1</v>
      </c>
      <c r="G16" s="34">
        <f>'400'!G16+'404'!G16+'411'!G16+'425'!G16+'426'!G16</f>
        <v>885474.46105461312</v>
      </c>
      <c r="H16" s="80">
        <f>G16/G12</f>
        <v>1</v>
      </c>
      <c r="I16" s="34">
        <f>'400'!I16+'404'!I16+'411'!I16+'425'!I16+'426'!I16</f>
        <v>781868.87195548043</v>
      </c>
      <c r="J16" s="80">
        <f>I16/I12</f>
        <v>1</v>
      </c>
      <c r="K16" s="34">
        <f>'400'!K16+'404'!K16+'411'!K16+'425'!K16+'426'!K16</f>
        <v>715098.73306798295</v>
      </c>
      <c r="L16" s="80">
        <f>K16/K12</f>
        <v>1</v>
      </c>
      <c r="M16" s="34">
        <f>'400'!M16+'404'!M16+'411'!M16+'425'!M16+'426'!M16</f>
        <v>1014000.102792793</v>
      </c>
      <c r="N16" s="80">
        <f>M16/M12</f>
        <v>1</v>
      </c>
      <c r="O16" s="34">
        <f>'400'!O16+'404'!O16+'411'!O16+'425'!O16+'426'!O16</f>
        <v>641974.13346908253</v>
      </c>
      <c r="P16" s="80">
        <f>O16/O12</f>
        <v>1</v>
      </c>
      <c r="Q16" s="34">
        <f>'400'!Q16+'404'!Q16+'411'!Q16+'425'!Q16+'426'!Q16</f>
        <v>797164.34355006483</v>
      </c>
      <c r="R16" s="80">
        <f>Q16/Q12</f>
        <v>1</v>
      </c>
      <c r="S16" s="34">
        <f>'400'!S16+'404'!S16+'411'!S16+'425'!S16+'426'!S16</f>
        <v>803046.83908516797</v>
      </c>
      <c r="T16" s="80">
        <f>S16/S12</f>
        <v>1</v>
      </c>
      <c r="U16" s="34">
        <f>'400'!U16+'404'!U16+'411'!U16+'425'!U16+'426'!U16</f>
        <v>636981.99606871011</v>
      </c>
      <c r="V16" s="80">
        <f>U16/U12</f>
        <v>1</v>
      </c>
      <c r="W16" s="34">
        <f>'400'!W16+'404'!W16+'411'!W16+'425'!W16+'426'!W16</f>
        <v>648091.93622940895</v>
      </c>
      <c r="X16" s="80">
        <f>W16/W12</f>
        <v>1</v>
      </c>
      <c r="Y16" s="34">
        <f>'400'!Y16+'404'!Y16+'411'!Y16+'425'!Y16+'426'!Y16</f>
        <v>979048.82120330655</v>
      </c>
      <c r="Z16" s="80">
        <f>Y16/Y12</f>
        <v>1</v>
      </c>
      <c r="AA16" s="321">
        <f>'400'!AA16+'404'!AA16+'411'!AA16+'425'!AA16+'426'!AA16</f>
        <v>9122691.8285681624</v>
      </c>
      <c r="AB16" s="80">
        <f>AA16/AA12</f>
        <v>1</v>
      </c>
      <c r="AC16" s="44">
        <f>AC12+AC15</f>
        <v>760224.31904734671</v>
      </c>
      <c r="AD16" s="80">
        <f>AC16/AC12</f>
        <v>1</v>
      </c>
      <c r="AE16" s="144"/>
      <c r="AF16" s="64">
        <f t="shared" si="1"/>
        <v>9122691.8285681624</v>
      </c>
      <c r="AG16" s="27" t="e">
        <f>'400'!#REF!+#REF!+#REF!+#REF!+'404'!#REF!+#REF!+#REF!+#REF!+#REF!+#REF!+#REF!</f>
        <v>#REF!</v>
      </c>
      <c r="AH16" s="27" t="e">
        <f t="shared" si="25"/>
        <v>#REF!</v>
      </c>
      <c r="AI16" s="27">
        <f>'400'!AA16+'404'!AA16+'411'!AA16</f>
        <v>5090575.6943094581</v>
      </c>
    </row>
    <row r="17" spans="1:35" customFormat="1" ht="15.75" thickTop="1">
      <c r="A17" s="13">
        <v>5502</v>
      </c>
      <c r="B17" s="5" t="s">
        <v>49</v>
      </c>
      <c r="C17" s="190">
        <f>'400'!C17+'404'!C17+'411'!C17+'425'!C17+'426'!C17</f>
        <v>351681.36049999995</v>
      </c>
      <c r="D17" s="49">
        <f>C17/C$12</f>
        <v>0.51255716546840169</v>
      </c>
      <c r="E17" s="190">
        <f>'400'!E17+'404'!E17+'411'!E17+'425'!E17+'426'!E17</f>
        <v>271613.60952258279</v>
      </c>
      <c r="F17" s="49">
        <f>E17/E$12</f>
        <v>0.50882019683423585</v>
      </c>
      <c r="G17" s="190">
        <f>'400'!G17+'404'!G17+'411'!G17+'425'!G17+'426'!G17</f>
        <v>485942.59260034689</v>
      </c>
      <c r="H17" s="49">
        <f>G17/G$12</f>
        <v>0.54879345929591472</v>
      </c>
      <c r="I17" s="190">
        <f>'400'!I17+'404'!I17+'411'!I17+'425'!I17+'426'!I17</f>
        <v>416942.05548532773</v>
      </c>
      <c r="J17" s="49">
        <f>I17/I$12</f>
        <v>0.53326340316189025</v>
      </c>
      <c r="K17" s="190">
        <f>'400'!K17+'404'!K17+'411'!K17+'425'!K17+'426'!K17</f>
        <v>330012.23311922047</v>
      </c>
      <c r="L17" s="49">
        <f>K17/K$12</f>
        <v>0.46149184421481404</v>
      </c>
      <c r="M17" s="190">
        <f>'400'!M17+'404'!M17+'411'!M17+'425'!M17+'426'!M17</f>
        <v>571165.26391017565</v>
      </c>
      <c r="N17" s="49">
        <f>M17/M$12</f>
        <v>0.56327929586698577</v>
      </c>
      <c r="O17" s="190">
        <f>'400'!O17+'404'!O17+'411'!O17+'425'!O17+'426'!O17</f>
        <v>343978.15442081925</v>
      </c>
      <c r="P17" s="49">
        <f>O17/O$12</f>
        <v>0.53581310599235421</v>
      </c>
      <c r="Q17" s="190">
        <f>'400'!Q17+'404'!Q17+'411'!Q17+'425'!Q17+'426'!Q17</f>
        <v>444052.3501294523</v>
      </c>
      <c r="R17" s="49">
        <f>Q17/Q$12</f>
        <v>0.55703990491085509</v>
      </c>
      <c r="S17" s="190">
        <f>'400'!S17+'404'!S17+'411'!S17+'425'!S17+'426'!S17</f>
        <v>420694.1244499415</v>
      </c>
      <c r="T17" s="49">
        <f>S17/S$12</f>
        <v>0.52387246169749802</v>
      </c>
      <c r="U17" s="190">
        <f>'400'!U17+'404'!U17+'411'!U17+'425'!U17+'426'!U17</f>
        <v>307559.92802543059</v>
      </c>
      <c r="V17" s="49">
        <f>U17/U$12</f>
        <v>0.48283927948295519</v>
      </c>
      <c r="W17" s="190">
        <f>'400'!W17+'404'!W17+'411'!W17+'425'!W17+'426'!W17</f>
        <v>297707.48778212722</v>
      </c>
      <c r="X17" s="49">
        <f>W17/W$12</f>
        <v>0.45935996289999498</v>
      </c>
      <c r="Y17" s="190">
        <f>'400'!Y17+'404'!Y17+'411'!Y17+'425'!Y17+'426'!Y17</f>
        <v>501680.41778253205</v>
      </c>
      <c r="Z17" s="49">
        <f>Y17/Y$12</f>
        <v>0.51241613994891322</v>
      </c>
      <c r="AA17" s="320">
        <f>'400'!AA17+'404'!AA17+'411'!AA17+'425'!AA17+'426'!AA17</f>
        <v>4743029.5777279558</v>
      </c>
      <c r="AB17" s="108">
        <f>AA17/AA$12</f>
        <v>0.51991557611043304</v>
      </c>
      <c r="AC17" s="89">
        <f t="shared" ref="AC17:AC34" si="40">AA17/12</f>
        <v>395252.46481066296</v>
      </c>
      <c r="AD17" s="92">
        <f>AC17/AC$12</f>
        <v>0.51991557611043304</v>
      </c>
      <c r="AE17" s="144"/>
      <c r="AF17" s="64">
        <f t="shared" si="1"/>
        <v>4743029.5777279567</v>
      </c>
      <c r="AG17" s="27" t="e">
        <f>'400'!#REF!+#REF!+#REF!+#REF!+'404'!#REF!+#REF!+#REF!+#REF!+#REF!+#REF!+#REF!</f>
        <v>#REF!</v>
      </c>
      <c r="AH17" s="27" t="e">
        <f t="shared" si="25"/>
        <v>#REF!</v>
      </c>
      <c r="AI17" s="27">
        <f>'400'!AA17+'404'!AA17+'411'!AA17</f>
        <v>2668928.8478359086</v>
      </c>
    </row>
    <row r="18" spans="1:35" customFormat="1">
      <c r="A18" s="3">
        <v>5503</v>
      </c>
      <c r="B18" s="3" t="s">
        <v>50</v>
      </c>
      <c r="C18" s="190">
        <f>'400'!C18+'404'!C18+'411'!C18+'425'!C18+'426'!C18</f>
        <v>0</v>
      </c>
      <c r="D18" s="49">
        <f t="shared" ref="D18:D42" si="41">C18/C$12</f>
        <v>0</v>
      </c>
      <c r="E18" s="190">
        <f>'400'!E18+'404'!E18+'411'!E18+'425'!E18+'426'!E18</f>
        <v>0</v>
      </c>
      <c r="F18" s="49">
        <f t="shared" ref="F18:F42" si="42">E18/E$12</f>
        <v>0</v>
      </c>
      <c r="G18" s="190">
        <f>'400'!G18+'404'!G18+'411'!G18+'425'!G18+'426'!G18</f>
        <v>0</v>
      </c>
      <c r="H18" s="49">
        <f t="shared" ref="H18:H42" si="43">G18/G$12</f>
        <v>0</v>
      </c>
      <c r="I18" s="190">
        <f>'400'!I18+'404'!I18+'411'!I18+'425'!I18+'426'!I18</f>
        <v>0</v>
      </c>
      <c r="J18" s="49">
        <f t="shared" ref="J18:J42" si="44">I18/I$12</f>
        <v>0</v>
      </c>
      <c r="K18" s="190">
        <f>'400'!K18+'404'!K18+'411'!K18+'425'!K18+'426'!K18</f>
        <v>0</v>
      </c>
      <c r="L18" s="49">
        <f t="shared" ref="L18:L42" si="45">K18/K$12</f>
        <v>0</v>
      </c>
      <c r="M18" s="190">
        <f>'400'!M18+'404'!M18+'411'!M18+'425'!M18+'426'!M18</f>
        <v>0</v>
      </c>
      <c r="N18" s="49">
        <f t="shared" ref="N18:N42" si="46">M18/M$12</f>
        <v>0</v>
      </c>
      <c r="O18" s="190">
        <f>'400'!O18+'404'!O18+'411'!O18+'425'!O18+'426'!O18</f>
        <v>0</v>
      </c>
      <c r="P18" s="49">
        <f t="shared" ref="P18:P42" si="47">O18/O$12</f>
        <v>0</v>
      </c>
      <c r="Q18" s="190">
        <f>'400'!Q18+'404'!Q18+'411'!Q18+'425'!Q18+'426'!Q18</f>
        <v>0</v>
      </c>
      <c r="R18" s="49">
        <f t="shared" ref="R18:R42" si="48">Q18/Q$12</f>
        <v>0</v>
      </c>
      <c r="S18" s="190">
        <f>'400'!S18+'404'!S18+'411'!S18+'425'!S18+'426'!S18</f>
        <v>0</v>
      </c>
      <c r="T18" s="49">
        <f t="shared" ref="T18:T42" si="49">S18/S$12</f>
        <v>0</v>
      </c>
      <c r="U18" s="190">
        <f>'400'!U18+'404'!U18+'411'!U18+'425'!U18+'426'!U18</f>
        <v>0</v>
      </c>
      <c r="V18" s="49">
        <f t="shared" ref="V18:V42" si="50">U18/U$12</f>
        <v>0</v>
      </c>
      <c r="W18" s="190">
        <f>'400'!W18+'404'!W18+'411'!W18+'425'!W18+'426'!W18</f>
        <v>0</v>
      </c>
      <c r="X18" s="49">
        <f t="shared" ref="X18:X42" si="51">W18/W$12</f>
        <v>0</v>
      </c>
      <c r="Y18" s="190">
        <f>'400'!Y18+'404'!Y18+'411'!Y18+'425'!Y18+'426'!Y18</f>
        <v>0</v>
      </c>
      <c r="Z18" s="49">
        <f t="shared" ref="Z18:Z42" si="52">Y18/Y$12</f>
        <v>0</v>
      </c>
      <c r="AA18" s="320">
        <f>'400'!AA18+'404'!AA18+'411'!AA18+'425'!AA18+'426'!AA18</f>
        <v>0</v>
      </c>
      <c r="AB18" s="108">
        <f t="shared" ref="AB18" si="53">AA18/AA$12</f>
        <v>0</v>
      </c>
      <c r="AC18" s="89">
        <f t="shared" si="40"/>
        <v>0</v>
      </c>
      <c r="AD18" s="92">
        <f t="shared" ref="AD18" si="54">AC18/AC$12</f>
        <v>0</v>
      </c>
      <c r="AE18" s="144"/>
      <c r="AF18" s="64">
        <f t="shared" si="1"/>
        <v>0</v>
      </c>
      <c r="AG18" s="27" t="e">
        <f>'400'!#REF!+#REF!+#REF!+#REF!+'404'!#REF!+#REF!+#REF!+#REF!+#REF!+#REF!+#REF!</f>
        <v>#REF!</v>
      </c>
      <c r="AH18" s="27" t="e">
        <f t="shared" si="25"/>
        <v>#REF!</v>
      </c>
      <c r="AI18" s="27">
        <f>'400'!AA18+'404'!AA18+'411'!AA18</f>
        <v>0</v>
      </c>
    </row>
    <row r="19" spans="1:35" customFormat="1">
      <c r="A19" s="3">
        <v>5504</v>
      </c>
      <c r="B19" s="3" t="s">
        <v>51</v>
      </c>
      <c r="C19" s="190">
        <f>'400'!C19+'404'!C19+'411'!C19+'425'!C19+'426'!C19</f>
        <v>0</v>
      </c>
      <c r="D19" s="49">
        <f t="shared" si="41"/>
        <v>0</v>
      </c>
      <c r="E19" s="190">
        <f>'400'!E19+'404'!E19+'411'!E19+'425'!E19+'426'!E19</f>
        <v>0</v>
      </c>
      <c r="F19" s="49">
        <f t="shared" si="42"/>
        <v>0</v>
      </c>
      <c r="G19" s="190">
        <f>'400'!G19+'404'!G19+'411'!G19+'425'!G19+'426'!G19</f>
        <v>0</v>
      </c>
      <c r="H19" s="49">
        <f t="shared" si="43"/>
        <v>0</v>
      </c>
      <c r="I19" s="190">
        <f>'400'!I19+'404'!I19+'411'!I19+'425'!I19+'426'!I19</f>
        <v>0</v>
      </c>
      <c r="J19" s="49">
        <f t="shared" si="44"/>
        <v>0</v>
      </c>
      <c r="K19" s="190">
        <f>'400'!K19+'404'!K19+'411'!K19+'425'!K19+'426'!K19</f>
        <v>0</v>
      </c>
      <c r="L19" s="49">
        <f t="shared" si="45"/>
        <v>0</v>
      </c>
      <c r="M19" s="190">
        <f>'400'!M19+'404'!M19+'411'!M19+'425'!M19+'426'!M19</f>
        <v>0</v>
      </c>
      <c r="N19" s="49">
        <f t="shared" si="46"/>
        <v>0</v>
      </c>
      <c r="O19" s="190">
        <f>'400'!O19+'404'!O19+'411'!O19+'425'!O19+'426'!O19</f>
        <v>0</v>
      </c>
      <c r="P19" s="49">
        <f t="shared" si="47"/>
        <v>0</v>
      </c>
      <c r="Q19" s="190">
        <f>'400'!Q19+'404'!Q19+'411'!Q19+'425'!Q19+'426'!Q19</f>
        <v>0</v>
      </c>
      <c r="R19" s="49">
        <f t="shared" si="48"/>
        <v>0</v>
      </c>
      <c r="S19" s="190">
        <f>'400'!S19+'404'!S19+'411'!S19+'425'!S19+'426'!S19</f>
        <v>0</v>
      </c>
      <c r="T19" s="49">
        <f t="shared" si="49"/>
        <v>0</v>
      </c>
      <c r="U19" s="190">
        <f>'400'!U19+'404'!U19+'411'!U19+'425'!U19+'426'!U19</f>
        <v>0</v>
      </c>
      <c r="V19" s="49">
        <f t="shared" si="50"/>
        <v>0</v>
      </c>
      <c r="W19" s="190">
        <f>'400'!W19+'404'!W19+'411'!W19+'425'!W19+'426'!W19</f>
        <v>0</v>
      </c>
      <c r="X19" s="49">
        <f t="shared" si="51"/>
        <v>0</v>
      </c>
      <c r="Y19" s="190">
        <f>'400'!Y19+'404'!Y19+'411'!Y19+'425'!Y19+'426'!Y19</f>
        <v>0</v>
      </c>
      <c r="Z19" s="49">
        <f t="shared" si="52"/>
        <v>0</v>
      </c>
      <c r="AA19" s="320">
        <f>'400'!AA19+'404'!AA19+'411'!AA19+'425'!AA19+'426'!AA19</f>
        <v>0</v>
      </c>
      <c r="AB19" s="108">
        <f t="shared" ref="AB19" si="55">AA19/AA$12</f>
        <v>0</v>
      </c>
      <c r="AC19" s="89">
        <f t="shared" si="40"/>
        <v>0</v>
      </c>
      <c r="AD19" s="92">
        <f t="shared" ref="AD19" si="56">AC19/AC$12</f>
        <v>0</v>
      </c>
      <c r="AE19" s="144"/>
      <c r="AF19" s="64">
        <f t="shared" si="1"/>
        <v>0</v>
      </c>
      <c r="AG19" s="27" t="e">
        <f>'400'!#REF!+#REF!+#REF!+#REF!+'404'!#REF!+#REF!+#REF!+#REF!+#REF!+#REF!+#REF!</f>
        <v>#REF!</v>
      </c>
      <c r="AH19" s="27" t="e">
        <f t="shared" si="25"/>
        <v>#REF!</v>
      </c>
      <c r="AI19" s="27">
        <f>'400'!AA19+'404'!AA19+'411'!AA19</f>
        <v>0</v>
      </c>
    </row>
    <row r="20" spans="1:35" customFormat="1">
      <c r="A20" s="3">
        <v>5505</v>
      </c>
      <c r="B20" s="3" t="s">
        <v>52</v>
      </c>
      <c r="C20" s="190">
        <f>'400'!C20+'404'!C20+'411'!C20+'425'!C20+'426'!C20</f>
        <v>0</v>
      </c>
      <c r="D20" s="49">
        <f t="shared" si="41"/>
        <v>0</v>
      </c>
      <c r="E20" s="190">
        <f>'400'!E20+'404'!E20+'411'!E20+'425'!E20+'426'!E20</f>
        <v>0</v>
      </c>
      <c r="F20" s="49">
        <f t="shared" si="42"/>
        <v>0</v>
      </c>
      <c r="G20" s="190">
        <f>'400'!G20+'404'!G20+'411'!G20+'425'!G20+'426'!G20</f>
        <v>0</v>
      </c>
      <c r="H20" s="49">
        <f t="shared" si="43"/>
        <v>0</v>
      </c>
      <c r="I20" s="190">
        <f>'400'!I20+'404'!I20+'411'!I20+'425'!I20+'426'!I20</f>
        <v>0</v>
      </c>
      <c r="J20" s="49">
        <f t="shared" si="44"/>
        <v>0</v>
      </c>
      <c r="K20" s="190">
        <f>'400'!K20+'404'!K20+'411'!K20+'425'!K20+'426'!K20</f>
        <v>0</v>
      </c>
      <c r="L20" s="49">
        <f t="shared" si="45"/>
        <v>0</v>
      </c>
      <c r="M20" s="190">
        <f>'400'!M20+'404'!M20+'411'!M20+'425'!M20+'426'!M20</f>
        <v>0</v>
      </c>
      <c r="N20" s="49">
        <f t="shared" si="46"/>
        <v>0</v>
      </c>
      <c r="O20" s="190">
        <f>'400'!O20+'404'!O20+'411'!O20+'425'!O20+'426'!O20</f>
        <v>0</v>
      </c>
      <c r="P20" s="49">
        <f t="shared" si="47"/>
        <v>0</v>
      </c>
      <c r="Q20" s="190">
        <f>'400'!Q20+'404'!Q20+'411'!Q20+'425'!Q20+'426'!Q20</f>
        <v>0</v>
      </c>
      <c r="R20" s="49">
        <f t="shared" si="48"/>
        <v>0</v>
      </c>
      <c r="S20" s="190">
        <f>'400'!S20+'404'!S20+'411'!S20+'425'!S20+'426'!S20</f>
        <v>0</v>
      </c>
      <c r="T20" s="49">
        <f t="shared" si="49"/>
        <v>0</v>
      </c>
      <c r="U20" s="190">
        <f>'400'!U20+'404'!U20+'411'!U20+'425'!U20+'426'!U20</f>
        <v>0</v>
      </c>
      <c r="V20" s="49">
        <f t="shared" si="50"/>
        <v>0</v>
      </c>
      <c r="W20" s="190">
        <f>'400'!W20+'404'!W20+'411'!W20+'425'!W20+'426'!W20</f>
        <v>0</v>
      </c>
      <c r="X20" s="49">
        <f t="shared" si="51"/>
        <v>0</v>
      </c>
      <c r="Y20" s="190">
        <f>'400'!Y20+'404'!Y20+'411'!Y20+'425'!Y20+'426'!Y20</f>
        <v>0</v>
      </c>
      <c r="Z20" s="49">
        <f t="shared" si="52"/>
        <v>0</v>
      </c>
      <c r="AA20" s="320">
        <f>'400'!AA20+'404'!AA20+'411'!AA20+'425'!AA20+'426'!AA20</f>
        <v>0</v>
      </c>
      <c r="AB20" s="108">
        <f t="shared" ref="AB20" si="57">AA20/AA$12</f>
        <v>0</v>
      </c>
      <c r="AC20" s="89">
        <f t="shared" si="40"/>
        <v>0</v>
      </c>
      <c r="AD20" s="92">
        <f t="shared" ref="AD20" si="58">AC20/AC$12</f>
        <v>0</v>
      </c>
      <c r="AE20" s="144"/>
      <c r="AF20" s="64">
        <f t="shared" si="1"/>
        <v>0</v>
      </c>
      <c r="AG20" s="27" t="e">
        <f>'400'!#REF!+#REF!+#REF!+#REF!+'404'!#REF!+#REF!+#REF!+#REF!+#REF!+#REF!+#REF!</f>
        <v>#REF!</v>
      </c>
      <c r="AH20" s="27" t="e">
        <f t="shared" si="25"/>
        <v>#REF!</v>
      </c>
      <c r="AI20" s="27">
        <f>'400'!AA20+'404'!AA20+'411'!AA20</f>
        <v>0</v>
      </c>
    </row>
    <row r="21" spans="1:35" customFormat="1" ht="15.75" thickBot="1">
      <c r="A21" s="248">
        <v>5599</v>
      </c>
      <c r="B21" s="248" t="s">
        <v>95</v>
      </c>
      <c r="C21" s="236">
        <f>'400'!C21+'404'!C21+'411'!C21+'425'!C21+'426'!C21</f>
        <v>351681.36049999995</v>
      </c>
      <c r="D21" s="237">
        <f t="shared" si="41"/>
        <v>0.51255716546840169</v>
      </c>
      <c r="E21" s="236">
        <f>'400'!E21+'404'!E21+'411'!E21+'425'!E21+'426'!E21</f>
        <v>271613.60952258279</v>
      </c>
      <c r="F21" s="237">
        <f t="shared" si="42"/>
        <v>0.50882019683423585</v>
      </c>
      <c r="G21" s="236">
        <f>'400'!G21+'404'!G21+'411'!G21+'425'!G21+'426'!G21</f>
        <v>485942.59260034689</v>
      </c>
      <c r="H21" s="237">
        <f t="shared" si="43"/>
        <v>0.54879345929591472</v>
      </c>
      <c r="I21" s="236">
        <f>'400'!I21+'404'!I21+'411'!I21+'425'!I21+'426'!I21</f>
        <v>416942.05548532773</v>
      </c>
      <c r="J21" s="237">
        <f t="shared" si="44"/>
        <v>0.53326340316189025</v>
      </c>
      <c r="K21" s="236">
        <f>'400'!K21+'404'!K21+'411'!K21+'425'!K21+'426'!K21</f>
        <v>330012.23311922047</v>
      </c>
      <c r="L21" s="237">
        <f t="shared" si="45"/>
        <v>0.46149184421481404</v>
      </c>
      <c r="M21" s="236">
        <f>'400'!M21+'404'!M21+'411'!M21+'425'!M21+'426'!M21</f>
        <v>571165.26391017565</v>
      </c>
      <c r="N21" s="237">
        <f t="shared" si="46"/>
        <v>0.56327929586698577</v>
      </c>
      <c r="O21" s="236">
        <f>'400'!O21+'404'!O21+'411'!O21+'425'!O21+'426'!O21</f>
        <v>343978.15442081925</v>
      </c>
      <c r="P21" s="237">
        <f t="shared" si="47"/>
        <v>0.53581310599235421</v>
      </c>
      <c r="Q21" s="236">
        <f>'400'!Q21+'404'!Q21+'411'!Q21+'425'!Q21+'426'!Q21</f>
        <v>444052.3501294523</v>
      </c>
      <c r="R21" s="237">
        <f t="shared" si="48"/>
        <v>0.55703990491085509</v>
      </c>
      <c r="S21" s="236">
        <f>'400'!S21+'404'!S21+'411'!S21+'425'!S21+'426'!S21</f>
        <v>420694.1244499415</v>
      </c>
      <c r="T21" s="237">
        <f t="shared" si="49"/>
        <v>0.52387246169749802</v>
      </c>
      <c r="U21" s="236">
        <f>'400'!U21+'404'!U21+'411'!U21+'425'!U21+'426'!U21</f>
        <v>307559.92802543059</v>
      </c>
      <c r="V21" s="237">
        <f t="shared" si="50"/>
        <v>0.48283927948295519</v>
      </c>
      <c r="W21" s="236">
        <f>'400'!W21+'404'!W21+'411'!W21+'425'!W21+'426'!W21</f>
        <v>297707.48778212722</v>
      </c>
      <c r="X21" s="237">
        <f t="shared" si="51"/>
        <v>0.45935996289999498</v>
      </c>
      <c r="Y21" s="236">
        <f>'400'!Y21+'404'!Y21+'411'!Y21+'425'!Y21+'426'!Y21</f>
        <v>501680.41778253205</v>
      </c>
      <c r="Z21" s="237">
        <f t="shared" si="52"/>
        <v>0.51241613994891322</v>
      </c>
      <c r="AA21" s="321">
        <f>'400'!AA21+'404'!AA21+'411'!AA21+'425'!AA21+'426'!AA21</f>
        <v>4743029.5777279558</v>
      </c>
      <c r="AB21" s="237">
        <f t="shared" ref="AB21" si="59">AA21/AA$12</f>
        <v>0.51991557611043304</v>
      </c>
      <c r="AC21" s="238">
        <f>SUM(AC17:AC20)</f>
        <v>395252.46481066296</v>
      </c>
      <c r="AD21" s="237">
        <f t="shared" ref="AD21" si="60">AC21/AC$12</f>
        <v>0.51991557611043304</v>
      </c>
      <c r="AE21" s="144"/>
      <c r="AF21" s="64">
        <f t="shared" si="1"/>
        <v>4743029.5777279567</v>
      </c>
      <c r="AG21" s="27" t="e">
        <f>'400'!#REF!+#REF!+#REF!+#REF!+'404'!#REF!+#REF!+#REF!+#REF!+#REF!+#REF!+#REF!</f>
        <v>#REF!</v>
      </c>
      <c r="AH21" s="27" t="e">
        <f t="shared" si="25"/>
        <v>#REF!</v>
      </c>
      <c r="AI21" s="27">
        <f>'400'!AA21+'404'!AA21+'411'!AA21</f>
        <v>2668928.8478359086</v>
      </c>
    </row>
    <row r="22" spans="1:35" customFormat="1" ht="15.75" thickTop="1">
      <c r="A22" s="3">
        <v>5601</v>
      </c>
      <c r="B22" s="3" t="s">
        <v>53</v>
      </c>
      <c r="C22" s="190">
        <f>'400'!C22+'404'!C22+'411'!C22+'425'!C22+'426'!C22</f>
        <v>0</v>
      </c>
      <c r="D22" s="49">
        <f t="shared" si="41"/>
        <v>0</v>
      </c>
      <c r="E22" s="190">
        <f>'400'!E22+'404'!E22+'411'!E22+'425'!E22+'426'!E22</f>
        <v>0</v>
      </c>
      <c r="F22" s="49">
        <f t="shared" si="42"/>
        <v>0</v>
      </c>
      <c r="G22" s="190">
        <f>'400'!G22+'404'!G22+'411'!G22+'425'!G22+'426'!G22</f>
        <v>0</v>
      </c>
      <c r="H22" s="49">
        <f t="shared" si="43"/>
        <v>0</v>
      </c>
      <c r="I22" s="190">
        <f>'400'!I22+'404'!I22+'411'!I22+'425'!I22+'426'!I22</f>
        <v>0</v>
      </c>
      <c r="J22" s="49">
        <f t="shared" si="44"/>
        <v>0</v>
      </c>
      <c r="K22" s="190">
        <f>'400'!K22+'404'!K22+'411'!K22+'425'!K22+'426'!K22</f>
        <v>0</v>
      </c>
      <c r="L22" s="49">
        <f t="shared" si="45"/>
        <v>0</v>
      </c>
      <c r="M22" s="190">
        <f>'400'!M22+'404'!M22+'411'!M22+'425'!M22+'426'!M22</f>
        <v>0</v>
      </c>
      <c r="N22" s="49">
        <f t="shared" si="46"/>
        <v>0</v>
      </c>
      <c r="O22" s="190">
        <f>'400'!O22+'404'!O22+'411'!O22+'425'!O22+'426'!O22</f>
        <v>0</v>
      </c>
      <c r="P22" s="49">
        <f t="shared" si="47"/>
        <v>0</v>
      </c>
      <c r="Q22" s="190">
        <f>'400'!Q22+'404'!Q22+'411'!Q22+'425'!Q22+'426'!Q22</f>
        <v>0</v>
      </c>
      <c r="R22" s="49">
        <f t="shared" si="48"/>
        <v>0</v>
      </c>
      <c r="S22" s="190">
        <f>'400'!S22+'404'!S22+'411'!S22+'425'!S22+'426'!S22</f>
        <v>0</v>
      </c>
      <c r="T22" s="49">
        <f t="shared" si="49"/>
        <v>0</v>
      </c>
      <c r="U22" s="190">
        <f>'400'!U22+'404'!U22+'411'!U22+'425'!U22+'426'!U22</f>
        <v>0</v>
      </c>
      <c r="V22" s="49">
        <f t="shared" si="50"/>
        <v>0</v>
      </c>
      <c r="W22" s="190">
        <f>'400'!W22+'404'!W22+'411'!W22+'425'!W22+'426'!W22</f>
        <v>0</v>
      </c>
      <c r="X22" s="49">
        <f t="shared" si="51"/>
        <v>0</v>
      </c>
      <c r="Y22" s="190">
        <f>'400'!Y22+'404'!Y22+'411'!Y22+'425'!Y22+'426'!Y22</f>
        <v>0</v>
      </c>
      <c r="Z22" s="49">
        <f t="shared" si="52"/>
        <v>0</v>
      </c>
      <c r="AA22" s="320">
        <f>'400'!AA22+'404'!AA22+'411'!AA22+'425'!AA22+'426'!AA22</f>
        <v>0</v>
      </c>
      <c r="AB22" s="108">
        <f t="shared" ref="AB22" si="61">AA22/AA$12</f>
        <v>0</v>
      </c>
      <c r="AC22" s="89">
        <f t="shared" si="40"/>
        <v>0</v>
      </c>
      <c r="AD22" s="92">
        <f t="shared" ref="AD22" si="62">AC22/AC$12</f>
        <v>0</v>
      </c>
      <c r="AE22" s="144"/>
      <c r="AF22" s="64">
        <f t="shared" si="1"/>
        <v>0</v>
      </c>
      <c r="AG22" s="27" t="e">
        <f>'400'!#REF!+#REF!+#REF!+#REF!+'404'!#REF!+#REF!+#REF!+#REF!+#REF!+#REF!+#REF!</f>
        <v>#REF!</v>
      </c>
      <c r="AH22" s="27" t="e">
        <f t="shared" si="25"/>
        <v>#REF!</v>
      </c>
      <c r="AI22" s="27">
        <f>'400'!AA22+'404'!AA22+'411'!AA22</f>
        <v>0</v>
      </c>
    </row>
    <row r="23" spans="1:35" customFormat="1">
      <c r="A23" s="3">
        <v>5602</v>
      </c>
      <c r="B23" s="3" t="s">
        <v>54</v>
      </c>
      <c r="C23" s="190">
        <f>'400'!C23+'404'!C23+'411'!C23+'425'!C23+'426'!C23</f>
        <v>0</v>
      </c>
      <c r="D23" s="49">
        <f t="shared" si="41"/>
        <v>0</v>
      </c>
      <c r="E23" s="190">
        <f>'400'!E23+'404'!E23+'411'!E23+'425'!E23+'426'!E23</f>
        <v>0</v>
      </c>
      <c r="F23" s="49">
        <f t="shared" si="42"/>
        <v>0</v>
      </c>
      <c r="G23" s="190">
        <f>'400'!G23+'404'!G23+'411'!G23+'425'!G23+'426'!G23</f>
        <v>0</v>
      </c>
      <c r="H23" s="49">
        <f t="shared" si="43"/>
        <v>0</v>
      </c>
      <c r="I23" s="190">
        <f>'400'!I23+'404'!I23+'411'!I23+'425'!I23+'426'!I23</f>
        <v>0</v>
      </c>
      <c r="J23" s="49">
        <f t="shared" si="44"/>
        <v>0</v>
      </c>
      <c r="K23" s="190">
        <f>'400'!K23+'404'!K23+'411'!K23+'425'!K23+'426'!K23</f>
        <v>0</v>
      </c>
      <c r="L23" s="49">
        <f t="shared" si="45"/>
        <v>0</v>
      </c>
      <c r="M23" s="190">
        <f>'400'!M23+'404'!M23+'411'!M23+'425'!M23+'426'!M23</f>
        <v>0</v>
      </c>
      <c r="N23" s="49">
        <f t="shared" si="46"/>
        <v>0</v>
      </c>
      <c r="O23" s="190">
        <f>'400'!O23+'404'!O23+'411'!O23+'425'!O23+'426'!O23</f>
        <v>0</v>
      </c>
      <c r="P23" s="49">
        <f t="shared" si="47"/>
        <v>0</v>
      </c>
      <c r="Q23" s="190">
        <f>'400'!Q23+'404'!Q23+'411'!Q23+'425'!Q23+'426'!Q23</f>
        <v>0</v>
      </c>
      <c r="R23" s="49">
        <f t="shared" si="48"/>
        <v>0</v>
      </c>
      <c r="S23" s="190">
        <f>'400'!S23+'404'!S23+'411'!S23+'425'!S23+'426'!S23</f>
        <v>0</v>
      </c>
      <c r="T23" s="49">
        <f t="shared" si="49"/>
        <v>0</v>
      </c>
      <c r="U23" s="190">
        <f>'400'!U23+'404'!U23+'411'!U23+'425'!U23+'426'!U23</f>
        <v>0</v>
      </c>
      <c r="V23" s="49">
        <f t="shared" si="50"/>
        <v>0</v>
      </c>
      <c r="W23" s="190">
        <f>'400'!W23+'404'!W23+'411'!W23+'425'!W23+'426'!W23</f>
        <v>0</v>
      </c>
      <c r="X23" s="49">
        <f t="shared" si="51"/>
        <v>0</v>
      </c>
      <c r="Y23" s="190">
        <f>'400'!Y23+'404'!Y23+'411'!Y23+'425'!Y23+'426'!Y23</f>
        <v>0</v>
      </c>
      <c r="Z23" s="49">
        <f t="shared" si="52"/>
        <v>0</v>
      </c>
      <c r="AA23" s="320">
        <f>'400'!AA23+'404'!AA23+'411'!AA23+'425'!AA23+'426'!AA23</f>
        <v>0</v>
      </c>
      <c r="AB23" s="108">
        <f t="shared" ref="AB23" si="63">AA23/AA$12</f>
        <v>0</v>
      </c>
      <c r="AC23" s="89">
        <f t="shared" si="40"/>
        <v>0</v>
      </c>
      <c r="AD23" s="92">
        <f t="shared" ref="AD23" si="64">AC23/AC$12</f>
        <v>0</v>
      </c>
      <c r="AE23" s="144"/>
      <c r="AF23" s="64">
        <f t="shared" si="1"/>
        <v>0</v>
      </c>
      <c r="AG23" s="27" t="e">
        <f>'400'!#REF!+#REF!+#REF!+#REF!+'404'!#REF!+#REF!+#REF!+#REF!+#REF!+#REF!+#REF!</f>
        <v>#REF!</v>
      </c>
      <c r="AH23" s="27" t="e">
        <f t="shared" si="25"/>
        <v>#REF!</v>
      </c>
      <c r="AI23" s="27">
        <f>'400'!AA23+'404'!AA23+'411'!AA23</f>
        <v>0</v>
      </c>
    </row>
    <row r="24" spans="1:35" customFormat="1">
      <c r="A24" s="3">
        <v>5603</v>
      </c>
      <c r="B24" s="3" t="s">
        <v>55</v>
      </c>
      <c r="C24" s="190">
        <f>'400'!C24+'404'!C24+'411'!C24+'425'!C24+'426'!C24</f>
        <v>0</v>
      </c>
      <c r="D24" s="49">
        <f t="shared" si="41"/>
        <v>0</v>
      </c>
      <c r="E24" s="190">
        <f>'400'!E24+'404'!E24+'411'!E24+'425'!E24+'426'!E24</f>
        <v>0</v>
      </c>
      <c r="F24" s="49">
        <f t="shared" si="42"/>
        <v>0</v>
      </c>
      <c r="G24" s="190">
        <f>'400'!G24+'404'!G24+'411'!G24+'425'!G24+'426'!G24</f>
        <v>0</v>
      </c>
      <c r="H24" s="49">
        <f t="shared" si="43"/>
        <v>0</v>
      </c>
      <c r="I24" s="190">
        <f>'400'!I24+'404'!I24+'411'!I24+'425'!I24+'426'!I24</f>
        <v>0</v>
      </c>
      <c r="J24" s="49">
        <f t="shared" si="44"/>
        <v>0</v>
      </c>
      <c r="K24" s="190">
        <f>'400'!K24+'404'!K24+'411'!K24+'425'!K24+'426'!K24</f>
        <v>0</v>
      </c>
      <c r="L24" s="49">
        <f t="shared" si="45"/>
        <v>0</v>
      </c>
      <c r="M24" s="190">
        <f>'400'!M24+'404'!M24+'411'!M24+'425'!M24+'426'!M24</f>
        <v>0</v>
      </c>
      <c r="N24" s="49">
        <f t="shared" si="46"/>
        <v>0</v>
      </c>
      <c r="O24" s="190">
        <f>'400'!O24+'404'!O24+'411'!O24+'425'!O24+'426'!O24</f>
        <v>0</v>
      </c>
      <c r="P24" s="49">
        <f t="shared" si="47"/>
        <v>0</v>
      </c>
      <c r="Q24" s="190">
        <f>'400'!Q24+'404'!Q24+'411'!Q24+'425'!Q24+'426'!Q24</f>
        <v>0</v>
      </c>
      <c r="R24" s="49">
        <f t="shared" si="48"/>
        <v>0</v>
      </c>
      <c r="S24" s="190">
        <f>'400'!S24+'404'!S24+'411'!S24+'425'!S24+'426'!S24</f>
        <v>0</v>
      </c>
      <c r="T24" s="49">
        <f t="shared" si="49"/>
        <v>0</v>
      </c>
      <c r="U24" s="190">
        <f>'400'!U24+'404'!U24+'411'!U24+'425'!U24+'426'!U24</f>
        <v>0</v>
      </c>
      <c r="V24" s="49">
        <f t="shared" si="50"/>
        <v>0</v>
      </c>
      <c r="W24" s="190">
        <f>'400'!W24+'404'!W24+'411'!W24+'425'!W24+'426'!W24</f>
        <v>0</v>
      </c>
      <c r="X24" s="49">
        <f t="shared" si="51"/>
        <v>0</v>
      </c>
      <c r="Y24" s="190">
        <f>'400'!Y24+'404'!Y24+'411'!Y24+'425'!Y24+'426'!Y24</f>
        <v>0</v>
      </c>
      <c r="Z24" s="49">
        <f t="shared" si="52"/>
        <v>0</v>
      </c>
      <c r="AA24" s="320">
        <f>'400'!AA24+'404'!AA24+'411'!AA24+'425'!AA24+'426'!AA24</f>
        <v>0</v>
      </c>
      <c r="AB24" s="108">
        <f t="shared" ref="AB24" si="65">AA24/AA$12</f>
        <v>0</v>
      </c>
      <c r="AC24" s="89">
        <f t="shared" si="40"/>
        <v>0</v>
      </c>
      <c r="AD24" s="92">
        <f t="shared" ref="AD24" si="66">AC24/AC$12</f>
        <v>0</v>
      </c>
      <c r="AE24" s="144"/>
      <c r="AF24" s="64">
        <f t="shared" si="1"/>
        <v>0</v>
      </c>
      <c r="AG24" s="27" t="e">
        <f>'400'!#REF!+#REF!+#REF!+#REF!+'404'!#REF!+#REF!+#REF!+#REF!+#REF!+#REF!+#REF!</f>
        <v>#REF!</v>
      </c>
      <c r="AH24" s="27" t="e">
        <f t="shared" si="25"/>
        <v>#REF!</v>
      </c>
      <c r="AI24" s="27">
        <f>'400'!AA24+'404'!AA24+'411'!AA24</f>
        <v>0</v>
      </c>
    </row>
    <row r="25" spans="1:35" customFormat="1">
      <c r="A25" s="3">
        <v>5604</v>
      </c>
      <c r="B25" s="3" t="s">
        <v>56</v>
      </c>
      <c r="C25" s="190">
        <f>'400'!C25+'404'!C25+'411'!C25+'425'!C25+'426'!C25</f>
        <v>910</v>
      </c>
      <c r="D25" s="49">
        <f t="shared" si="41"/>
        <v>1.3262773435393533E-3</v>
      </c>
      <c r="E25" s="190">
        <f>'400'!E25+'404'!E25+'411'!E25+'425'!E25+'426'!E25</f>
        <v>910</v>
      </c>
      <c r="F25" s="49">
        <f t="shared" si="42"/>
        <v>1.7047245163194123E-3</v>
      </c>
      <c r="G25" s="190">
        <f>'400'!G25+'404'!G25+'411'!G25+'425'!G25+'426'!G25</f>
        <v>910</v>
      </c>
      <c r="H25" s="49">
        <f t="shared" si="43"/>
        <v>1.0276976242953146E-3</v>
      </c>
      <c r="I25" s="190">
        <f>'400'!I25+'404'!I25+'411'!I25+'425'!I25+'426'!I25</f>
        <v>910</v>
      </c>
      <c r="J25" s="49">
        <f t="shared" si="44"/>
        <v>1.1638780269178121E-3</v>
      </c>
      <c r="K25" s="190">
        <f>'400'!K25+'404'!K25+'411'!K25+'425'!K25+'426'!K25</f>
        <v>910</v>
      </c>
      <c r="L25" s="49">
        <f t="shared" si="45"/>
        <v>1.2725515483656832E-3</v>
      </c>
      <c r="M25" s="190">
        <f>'400'!M25+'404'!M25+'411'!M25+'425'!M25+'426'!M25</f>
        <v>910</v>
      </c>
      <c r="N25" s="49">
        <f t="shared" si="46"/>
        <v>8.9743580645963207E-4</v>
      </c>
      <c r="O25" s="190">
        <f>'400'!O25+'404'!O25+'411'!O25+'425'!O25+'426'!O25</f>
        <v>910</v>
      </c>
      <c r="P25" s="49">
        <f t="shared" si="47"/>
        <v>1.4175025948203965E-3</v>
      </c>
      <c r="Q25" s="190">
        <f>'400'!Q25+'404'!Q25+'411'!Q25+'425'!Q25+'426'!Q25</f>
        <v>910</v>
      </c>
      <c r="R25" s="49">
        <f t="shared" si="48"/>
        <v>1.1415462913800644E-3</v>
      </c>
      <c r="S25" s="190">
        <f>'400'!S25+'404'!S25+'411'!S25+'425'!S25+'426'!S25</f>
        <v>910</v>
      </c>
      <c r="T25" s="49">
        <f t="shared" si="49"/>
        <v>1.1331842125630843E-3</v>
      </c>
      <c r="U25" s="190">
        <f>'400'!U25+'404'!U25+'411'!U25+'425'!U25+'426'!U25</f>
        <v>910</v>
      </c>
      <c r="V25" s="49">
        <f t="shared" si="50"/>
        <v>1.4286118063246483E-3</v>
      </c>
      <c r="W25" s="190">
        <f>'400'!W25+'404'!W25+'411'!W25+'425'!W25+'426'!W25</f>
        <v>910</v>
      </c>
      <c r="X25" s="49">
        <f t="shared" si="51"/>
        <v>1.4041217752135122E-3</v>
      </c>
      <c r="Y25" s="190">
        <f>'400'!Y25+'404'!Y25+'411'!Y25+'425'!Y25+'426'!Y25</f>
        <v>910</v>
      </c>
      <c r="Z25" s="49">
        <f t="shared" si="52"/>
        <v>9.2947356688664244E-4</v>
      </c>
      <c r="AA25" s="320">
        <f>'400'!AA25+'404'!AA25+'411'!AA25+'425'!AA25+'426'!AA25</f>
        <v>10920</v>
      </c>
      <c r="AB25" s="108">
        <f t="shared" ref="AB25" si="67">AA25/AA$12</f>
        <v>1.1970151140920356E-3</v>
      </c>
      <c r="AC25" s="89">
        <f t="shared" si="40"/>
        <v>910</v>
      </c>
      <c r="AD25" s="92">
        <f t="shared" ref="AD25" si="68">AC25/AC$12</f>
        <v>1.1970151140920358E-3</v>
      </c>
      <c r="AE25" s="144"/>
      <c r="AF25" s="64">
        <f t="shared" si="1"/>
        <v>10920</v>
      </c>
      <c r="AG25" s="27" t="e">
        <f>'400'!#REF!+#REF!+#REF!+#REF!+'404'!#REF!+#REF!+#REF!+#REF!+#REF!+#REF!+#REF!</f>
        <v>#REF!</v>
      </c>
      <c r="AH25" s="27" t="e">
        <f t="shared" si="25"/>
        <v>#REF!</v>
      </c>
      <c r="AI25" s="27">
        <f>'400'!AA25+'404'!AA25+'411'!AA25</f>
        <v>7320</v>
      </c>
    </row>
    <row r="26" spans="1:35" customFormat="1">
      <c r="A26" s="3">
        <v>5605</v>
      </c>
      <c r="B26" s="3" t="s">
        <v>14</v>
      </c>
      <c r="C26" s="190">
        <f>'400'!C26+'404'!C26+'411'!C26+'425'!C26+'426'!C26</f>
        <v>0</v>
      </c>
      <c r="D26" s="49">
        <f t="shared" si="41"/>
        <v>0</v>
      </c>
      <c r="E26" s="190">
        <f>'400'!E26+'404'!E26+'411'!E26+'425'!E26+'426'!E26</f>
        <v>0</v>
      </c>
      <c r="F26" s="49">
        <f t="shared" si="42"/>
        <v>0</v>
      </c>
      <c r="G26" s="190">
        <f>'400'!G26+'404'!G26+'411'!G26+'425'!G26+'426'!G26</f>
        <v>0</v>
      </c>
      <c r="H26" s="49">
        <f t="shared" si="43"/>
        <v>0</v>
      </c>
      <c r="I26" s="190">
        <f>'400'!I26+'404'!I26+'411'!I26+'425'!I26+'426'!I26</f>
        <v>0</v>
      </c>
      <c r="J26" s="49">
        <f t="shared" si="44"/>
        <v>0</v>
      </c>
      <c r="K26" s="190">
        <f>'400'!K26+'404'!K26+'411'!K26+'425'!K26+'426'!K26</f>
        <v>0</v>
      </c>
      <c r="L26" s="49">
        <f t="shared" si="45"/>
        <v>0</v>
      </c>
      <c r="M26" s="190">
        <f>'400'!M26+'404'!M26+'411'!M26+'425'!M26+'426'!M26</f>
        <v>0</v>
      </c>
      <c r="N26" s="49">
        <f t="shared" si="46"/>
        <v>0</v>
      </c>
      <c r="O26" s="190">
        <f>'400'!O26+'404'!O26+'411'!O26+'425'!O26+'426'!O26</f>
        <v>0</v>
      </c>
      <c r="P26" s="49">
        <f t="shared" si="47"/>
        <v>0</v>
      </c>
      <c r="Q26" s="190">
        <f>'400'!Q26+'404'!Q26+'411'!Q26+'425'!Q26+'426'!Q26</f>
        <v>0</v>
      </c>
      <c r="R26" s="49">
        <f t="shared" si="48"/>
        <v>0</v>
      </c>
      <c r="S26" s="190">
        <f>'400'!S26+'404'!S26+'411'!S26+'425'!S26+'426'!S26</f>
        <v>0</v>
      </c>
      <c r="T26" s="49">
        <f t="shared" si="49"/>
        <v>0</v>
      </c>
      <c r="U26" s="190">
        <f>'400'!U26+'404'!U26+'411'!U26+'425'!U26+'426'!U26</f>
        <v>0</v>
      </c>
      <c r="V26" s="49">
        <f t="shared" si="50"/>
        <v>0</v>
      </c>
      <c r="W26" s="190">
        <f>'400'!W26+'404'!W26+'411'!W26+'425'!W26+'426'!W26</f>
        <v>0</v>
      </c>
      <c r="X26" s="49">
        <f t="shared" si="51"/>
        <v>0</v>
      </c>
      <c r="Y26" s="190">
        <f>'400'!Y26+'404'!Y26+'411'!Y26+'425'!Y26+'426'!Y26</f>
        <v>0</v>
      </c>
      <c r="Z26" s="49">
        <f t="shared" si="52"/>
        <v>0</v>
      </c>
      <c r="AA26" s="320">
        <f>'400'!AA26+'404'!AA26+'411'!AA26+'425'!AA26+'426'!AA26</f>
        <v>0</v>
      </c>
      <c r="AB26" s="108">
        <f t="shared" ref="AB26" si="69">AA26/AA$12</f>
        <v>0</v>
      </c>
      <c r="AC26" s="89">
        <f t="shared" si="40"/>
        <v>0</v>
      </c>
      <c r="AD26" s="92">
        <f t="shared" ref="AD26" si="70">AC26/AC$12</f>
        <v>0</v>
      </c>
      <c r="AE26" s="144"/>
      <c r="AF26" s="64">
        <f t="shared" si="1"/>
        <v>0</v>
      </c>
      <c r="AG26" s="27" t="e">
        <f>'400'!#REF!+#REF!+#REF!+#REF!+'404'!#REF!+#REF!+#REF!+#REF!+#REF!+#REF!+#REF!</f>
        <v>#REF!</v>
      </c>
      <c r="AH26" s="27" t="e">
        <f t="shared" si="25"/>
        <v>#REF!</v>
      </c>
      <c r="AI26" s="27">
        <f>'400'!AA26+'404'!AA26+'411'!AA26</f>
        <v>0</v>
      </c>
    </row>
    <row r="27" spans="1:35" customFormat="1">
      <c r="A27" s="3">
        <v>5606</v>
      </c>
      <c r="B27" s="3" t="s">
        <v>77</v>
      </c>
      <c r="C27" s="190">
        <f>'400'!C27+'404'!C27+'411'!C27+'425'!C27+'426'!C27</f>
        <v>2470.0715999999998</v>
      </c>
      <c r="D27" s="49">
        <f t="shared" si="41"/>
        <v>3.5999999999999995E-3</v>
      </c>
      <c r="E27" s="190">
        <f>'400'!E27+'404'!E27+'411'!E27+'425'!E27+'426'!E27</f>
        <v>1921.718124329585</v>
      </c>
      <c r="F27" s="49">
        <f t="shared" si="42"/>
        <v>3.5999999999999999E-3</v>
      </c>
      <c r="G27" s="190">
        <f>'400'!G27+'404'!G27+'411'!G27+'425'!G27+'426'!G27</f>
        <v>3187.7080597966069</v>
      </c>
      <c r="H27" s="49">
        <f t="shared" si="43"/>
        <v>3.5999999999999995E-3</v>
      </c>
      <c r="I27" s="190">
        <f>'400'!I27+'404'!I27+'411'!I27+'425'!I27+'426'!I27</f>
        <v>2814.7279390397289</v>
      </c>
      <c r="J27" s="49">
        <f t="shared" si="44"/>
        <v>3.599999999999999E-3</v>
      </c>
      <c r="K27" s="190">
        <f>'400'!K27+'404'!K27+'411'!K27+'425'!K27+'426'!K27</f>
        <v>2574.3554390447389</v>
      </c>
      <c r="L27" s="49">
        <f t="shared" si="45"/>
        <v>3.6000000000000003E-3</v>
      </c>
      <c r="M27" s="190">
        <f>'400'!M27+'404'!M27+'411'!M27+'425'!M27+'426'!M27</f>
        <v>3650.4003700540543</v>
      </c>
      <c r="N27" s="49">
        <f t="shared" si="46"/>
        <v>3.5999999999999995E-3</v>
      </c>
      <c r="O27" s="190">
        <f>'400'!O27+'404'!O27+'411'!O27+'425'!O27+'426'!O27</f>
        <v>2311.1068804886968</v>
      </c>
      <c r="P27" s="49">
        <f t="shared" si="47"/>
        <v>3.5999999999999995E-3</v>
      </c>
      <c r="Q27" s="190">
        <f>'400'!Q27+'404'!Q27+'411'!Q27+'425'!Q27+'426'!Q27</f>
        <v>2869.7916367802336</v>
      </c>
      <c r="R27" s="49">
        <f t="shared" si="48"/>
        <v>3.6000000000000003E-3</v>
      </c>
      <c r="S27" s="190">
        <f>'400'!S27+'404'!S27+'411'!S27+'425'!S27+'426'!S27</f>
        <v>2890.9686207066047</v>
      </c>
      <c r="T27" s="49">
        <f t="shared" si="49"/>
        <v>3.5999999999999999E-3</v>
      </c>
      <c r="U27" s="190">
        <f>'400'!U27+'404'!U27+'411'!U27+'425'!U27+'426'!U27</f>
        <v>2293.1351858473563</v>
      </c>
      <c r="V27" s="49">
        <f t="shared" si="50"/>
        <v>3.5999999999999999E-3</v>
      </c>
      <c r="W27" s="190">
        <f>'400'!W27+'404'!W27+'411'!W27+'425'!W27+'426'!W27</f>
        <v>2333.1309704258724</v>
      </c>
      <c r="X27" s="49">
        <f t="shared" si="51"/>
        <v>3.6000000000000003E-3</v>
      </c>
      <c r="Y27" s="190">
        <f>'400'!Y27+'404'!Y27+'411'!Y27+'425'!Y27+'426'!Y27</f>
        <v>3524.5757563319034</v>
      </c>
      <c r="Z27" s="49">
        <f t="shared" si="52"/>
        <v>3.5999999999999999E-3</v>
      </c>
      <c r="AA27" s="320">
        <f>'400'!AA27+'404'!AA27+'411'!AA27+'425'!AA27+'426'!AA27</f>
        <v>32841.690582845382</v>
      </c>
      <c r="AB27" s="108">
        <f t="shared" ref="AB27" si="71">AA27/AA$12</f>
        <v>3.5999999999999999E-3</v>
      </c>
      <c r="AC27" s="89">
        <f t="shared" si="40"/>
        <v>2736.8075485704485</v>
      </c>
      <c r="AD27" s="92">
        <f t="shared" ref="AD27" si="72">AC27/AC$12</f>
        <v>3.6000000000000003E-3</v>
      </c>
      <c r="AE27" s="144"/>
      <c r="AF27" s="64">
        <f t="shared" si="1"/>
        <v>32841.690582845375</v>
      </c>
      <c r="AG27" s="27" t="e">
        <f>'400'!#REF!+#REF!+#REF!+#REF!+'404'!#REF!+#REF!+#REF!+#REF!+#REF!+#REF!+#REF!</f>
        <v>#REF!</v>
      </c>
      <c r="AH27" s="27" t="e">
        <f t="shared" si="25"/>
        <v>#REF!</v>
      </c>
      <c r="AI27" s="27">
        <f>'400'!AA27+'404'!AA27+'411'!AA27</f>
        <v>18326.072499514048</v>
      </c>
    </row>
    <row r="28" spans="1:35" customFormat="1">
      <c r="A28" s="3">
        <v>5607</v>
      </c>
      <c r="B28" s="3" t="s">
        <v>57</v>
      </c>
      <c r="C28" s="190">
        <f>'400'!C28+'404'!C28+'411'!C28+'425'!C28+'426'!C28</f>
        <v>0</v>
      </c>
      <c r="D28" s="49">
        <f t="shared" si="41"/>
        <v>0</v>
      </c>
      <c r="E28" s="190">
        <f>'400'!E28+'404'!E28+'411'!E28+'425'!E28+'426'!E28</f>
        <v>0</v>
      </c>
      <c r="F28" s="49">
        <f t="shared" si="42"/>
        <v>0</v>
      </c>
      <c r="G28" s="190">
        <f>'400'!G28+'404'!G28+'411'!G28+'425'!G28+'426'!G28</f>
        <v>0</v>
      </c>
      <c r="H28" s="49">
        <f t="shared" si="43"/>
        <v>0</v>
      </c>
      <c r="I28" s="190">
        <f>'400'!I28+'404'!I28+'411'!I28+'425'!I28+'426'!I28</f>
        <v>0</v>
      </c>
      <c r="J28" s="49">
        <f t="shared" si="44"/>
        <v>0</v>
      </c>
      <c r="K28" s="190">
        <f>'400'!K28+'404'!K28+'411'!K28+'425'!K28+'426'!K28</f>
        <v>0</v>
      </c>
      <c r="L28" s="49">
        <f t="shared" si="45"/>
        <v>0</v>
      </c>
      <c r="M28" s="190">
        <f>'400'!M28+'404'!M28+'411'!M28+'425'!M28+'426'!M28</f>
        <v>0</v>
      </c>
      <c r="N28" s="49">
        <f t="shared" si="46"/>
        <v>0</v>
      </c>
      <c r="O28" s="190">
        <f>'400'!O28+'404'!O28+'411'!O28+'425'!O28+'426'!O28</f>
        <v>0</v>
      </c>
      <c r="P28" s="49">
        <f t="shared" si="47"/>
        <v>0</v>
      </c>
      <c r="Q28" s="190">
        <f>'400'!Q28+'404'!Q28+'411'!Q28+'425'!Q28+'426'!Q28</f>
        <v>0</v>
      </c>
      <c r="R28" s="49">
        <f t="shared" si="48"/>
        <v>0</v>
      </c>
      <c r="S28" s="190">
        <f>'400'!S28+'404'!S28+'411'!S28+'425'!S28+'426'!S28</f>
        <v>0</v>
      </c>
      <c r="T28" s="49">
        <f t="shared" si="49"/>
        <v>0</v>
      </c>
      <c r="U28" s="190">
        <f>'400'!U28+'404'!U28+'411'!U28+'425'!U28+'426'!U28</f>
        <v>0</v>
      </c>
      <c r="V28" s="49">
        <f t="shared" si="50"/>
        <v>0</v>
      </c>
      <c r="W28" s="190">
        <f>'400'!W28+'404'!W28+'411'!W28+'425'!W28+'426'!W28</f>
        <v>0</v>
      </c>
      <c r="X28" s="49">
        <f t="shared" si="51"/>
        <v>0</v>
      </c>
      <c r="Y28" s="190">
        <f>'400'!Y28+'404'!Y28+'411'!Y28+'425'!Y28+'426'!Y28</f>
        <v>0</v>
      </c>
      <c r="Z28" s="49">
        <f t="shared" si="52"/>
        <v>0</v>
      </c>
      <c r="AA28" s="320">
        <f>'400'!AA28+'404'!AA28+'411'!AA28+'425'!AA28+'426'!AA28</f>
        <v>0</v>
      </c>
      <c r="AB28" s="108">
        <f t="shared" ref="AB28" si="73">AA28/AA$12</f>
        <v>0</v>
      </c>
      <c r="AC28" s="89">
        <f t="shared" si="40"/>
        <v>0</v>
      </c>
      <c r="AD28" s="92">
        <f t="shared" ref="AD28" si="74">AC28/AC$12</f>
        <v>0</v>
      </c>
      <c r="AE28" s="144"/>
      <c r="AF28" s="64">
        <f t="shared" si="1"/>
        <v>0</v>
      </c>
      <c r="AG28" s="27" t="e">
        <f>'400'!#REF!+#REF!+#REF!+#REF!+'404'!#REF!+#REF!+#REF!+#REF!+#REF!+#REF!+#REF!</f>
        <v>#REF!</v>
      </c>
      <c r="AH28" s="27" t="e">
        <f t="shared" si="25"/>
        <v>#REF!</v>
      </c>
      <c r="AI28" s="27">
        <f>'400'!AA28+'404'!AA28+'411'!AA28</f>
        <v>0</v>
      </c>
    </row>
    <row r="29" spans="1:35" customFormat="1">
      <c r="A29" s="3">
        <v>5608</v>
      </c>
      <c r="B29" s="3" t="s">
        <v>58</v>
      </c>
      <c r="C29" s="190">
        <f>'400'!C29+'404'!C29+'411'!C29+'425'!C29+'426'!C29</f>
        <v>0</v>
      </c>
      <c r="D29" s="49">
        <f t="shared" si="41"/>
        <v>0</v>
      </c>
      <c r="E29" s="190">
        <f>'400'!E29+'404'!E29+'411'!E29+'425'!E29+'426'!E29</f>
        <v>0</v>
      </c>
      <c r="F29" s="49">
        <f t="shared" si="42"/>
        <v>0</v>
      </c>
      <c r="G29" s="190">
        <f>'400'!G29+'404'!G29+'411'!G29+'425'!G29+'426'!G29</f>
        <v>0</v>
      </c>
      <c r="H29" s="49">
        <f t="shared" si="43"/>
        <v>0</v>
      </c>
      <c r="I29" s="190">
        <f>'400'!I29+'404'!I29+'411'!I29+'425'!I29+'426'!I29</f>
        <v>0</v>
      </c>
      <c r="J29" s="49">
        <f t="shared" si="44"/>
        <v>0</v>
      </c>
      <c r="K29" s="190">
        <f>'400'!K29+'404'!K29+'411'!K29+'425'!K29+'426'!K29</f>
        <v>0</v>
      </c>
      <c r="L29" s="49">
        <f t="shared" si="45"/>
        <v>0</v>
      </c>
      <c r="M29" s="190">
        <f>'400'!M29+'404'!M29+'411'!M29+'425'!M29+'426'!M29</f>
        <v>0</v>
      </c>
      <c r="N29" s="49">
        <f t="shared" si="46"/>
        <v>0</v>
      </c>
      <c r="O29" s="190">
        <f>'400'!O29+'404'!O29+'411'!O29+'425'!O29+'426'!O29</f>
        <v>0</v>
      </c>
      <c r="P29" s="49">
        <f t="shared" si="47"/>
        <v>0</v>
      </c>
      <c r="Q29" s="190">
        <f>'400'!Q29+'404'!Q29+'411'!Q29+'425'!Q29+'426'!Q29</f>
        <v>0</v>
      </c>
      <c r="R29" s="49">
        <f t="shared" si="48"/>
        <v>0</v>
      </c>
      <c r="S29" s="190">
        <f>'400'!S29+'404'!S29+'411'!S29+'425'!S29+'426'!S29</f>
        <v>0</v>
      </c>
      <c r="T29" s="49">
        <f t="shared" si="49"/>
        <v>0</v>
      </c>
      <c r="U29" s="190">
        <f>'400'!U29+'404'!U29+'411'!U29+'425'!U29+'426'!U29</f>
        <v>0</v>
      </c>
      <c r="V29" s="49">
        <f t="shared" si="50"/>
        <v>0</v>
      </c>
      <c r="W29" s="190">
        <f>'400'!W29+'404'!W29+'411'!W29+'425'!W29+'426'!W29</f>
        <v>0</v>
      </c>
      <c r="X29" s="49">
        <f t="shared" si="51"/>
        <v>0</v>
      </c>
      <c r="Y29" s="190">
        <f>'400'!Y29+'404'!Y29+'411'!Y29+'425'!Y29+'426'!Y29</f>
        <v>0</v>
      </c>
      <c r="Z29" s="49">
        <f t="shared" si="52"/>
        <v>0</v>
      </c>
      <c r="AA29" s="320">
        <f>'400'!AA29+'404'!AA29+'411'!AA29+'425'!AA29+'426'!AA29</f>
        <v>0</v>
      </c>
      <c r="AB29" s="108">
        <f t="shared" ref="AB29" si="75">AA29/AA$12</f>
        <v>0</v>
      </c>
      <c r="AC29" s="89">
        <f t="shared" si="40"/>
        <v>0</v>
      </c>
      <c r="AD29" s="92">
        <f t="shared" ref="AD29" si="76">AC29/AC$12</f>
        <v>0</v>
      </c>
      <c r="AE29" s="144"/>
      <c r="AF29" s="64">
        <f t="shared" si="1"/>
        <v>0</v>
      </c>
      <c r="AG29" s="27" t="e">
        <f>'400'!#REF!+#REF!+#REF!+#REF!+'404'!#REF!+#REF!+#REF!+#REF!+#REF!+#REF!+#REF!</f>
        <v>#REF!</v>
      </c>
      <c r="AH29" s="27" t="e">
        <f t="shared" si="25"/>
        <v>#REF!</v>
      </c>
      <c r="AI29" s="27">
        <f>'400'!AA29+'404'!AA29+'411'!AA29</f>
        <v>0</v>
      </c>
    </row>
    <row r="30" spans="1:35" customFormat="1">
      <c r="A30" s="3">
        <v>5609</v>
      </c>
      <c r="B30" s="3" t="s">
        <v>59</v>
      </c>
      <c r="C30" s="190">
        <f>'400'!C30+'404'!C30+'411'!C30+'425'!C30+'426'!C30</f>
        <v>0</v>
      </c>
      <c r="D30" s="49">
        <f t="shared" si="41"/>
        <v>0</v>
      </c>
      <c r="E30" s="190">
        <f>'400'!E30+'404'!E30+'411'!E30+'425'!E30+'426'!E30</f>
        <v>0</v>
      </c>
      <c r="F30" s="49">
        <f t="shared" si="42"/>
        <v>0</v>
      </c>
      <c r="G30" s="190">
        <f>'400'!G30+'404'!G30+'411'!G30+'425'!G30+'426'!G30</f>
        <v>0</v>
      </c>
      <c r="H30" s="49">
        <f t="shared" si="43"/>
        <v>0</v>
      </c>
      <c r="I30" s="190">
        <f>'400'!I30+'404'!I30+'411'!I30+'425'!I30+'426'!I30</f>
        <v>0</v>
      </c>
      <c r="J30" s="49">
        <f t="shared" si="44"/>
        <v>0</v>
      </c>
      <c r="K30" s="190">
        <f>'400'!K30+'404'!K30+'411'!K30+'425'!K30+'426'!K30</f>
        <v>0</v>
      </c>
      <c r="L30" s="49">
        <f t="shared" si="45"/>
        <v>0</v>
      </c>
      <c r="M30" s="190">
        <f>'400'!M30+'404'!M30+'411'!M30+'425'!M30+'426'!M30</f>
        <v>0</v>
      </c>
      <c r="N30" s="49">
        <f t="shared" si="46"/>
        <v>0</v>
      </c>
      <c r="O30" s="190">
        <f>'400'!O30+'404'!O30+'411'!O30+'425'!O30+'426'!O30</f>
        <v>0</v>
      </c>
      <c r="P30" s="49">
        <f t="shared" si="47"/>
        <v>0</v>
      </c>
      <c r="Q30" s="190">
        <f>'400'!Q30+'404'!Q30+'411'!Q30+'425'!Q30+'426'!Q30</f>
        <v>0</v>
      </c>
      <c r="R30" s="49">
        <f t="shared" si="48"/>
        <v>0</v>
      </c>
      <c r="S30" s="190">
        <f>'400'!S30+'404'!S30+'411'!S30+'425'!S30+'426'!S30</f>
        <v>0</v>
      </c>
      <c r="T30" s="49">
        <f t="shared" si="49"/>
        <v>0</v>
      </c>
      <c r="U30" s="190">
        <f>'400'!U30+'404'!U30+'411'!U30+'425'!U30+'426'!U30</f>
        <v>0</v>
      </c>
      <c r="V30" s="49">
        <f t="shared" si="50"/>
        <v>0</v>
      </c>
      <c r="W30" s="190">
        <f>'400'!W30+'404'!W30+'411'!W30+'425'!W30+'426'!W30</f>
        <v>0</v>
      </c>
      <c r="X30" s="49">
        <f t="shared" si="51"/>
        <v>0</v>
      </c>
      <c r="Y30" s="190">
        <f>'400'!Y30+'404'!Y30+'411'!Y30+'425'!Y30+'426'!Y30</f>
        <v>0</v>
      </c>
      <c r="Z30" s="49">
        <f t="shared" si="52"/>
        <v>0</v>
      </c>
      <c r="AA30" s="320">
        <f>'400'!AA30+'404'!AA30+'411'!AA30+'425'!AA30+'426'!AA30</f>
        <v>0</v>
      </c>
      <c r="AB30" s="108">
        <f t="shared" ref="AB30" si="77">AA30/AA$12</f>
        <v>0</v>
      </c>
      <c r="AC30" s="89">
        <f t="shared" si="40"/>
        <v>0</v>
      </c>
      <c r="AD30" s="92">
        <f t="shared" ref="AD30" si="78">AC30/AC$12</f>
        <v>0</v>
      </c>
      <c r="AE30" s="144"/>
      <c r="AF30" s="64">
        <f t="shared" si="1"/>
        <v>0</v>
      </c>
      <c r="AG30" s="27" t="e">
        <f>'400'!#REF!+#REF!+#REF!+#REF!+'404'!#REF!+#REF!+#REF!+#REF!+#REF!+#REF!+#REF!</f>
        <v>#REF!</v>
      </c>
      <c r="AH30" s="27" t="e">
        <f t="shared" si="25"/>
        <v>#REF!</v>
      </c>
      <c r="AI30" s="27">
        <f>'400'!AA30+'404'!AA30+'411'!AA30</f>
        <v>0</v>
      </c>
    </row>
    <row r="31" spans="1:35" customFormat="1">
      <c r="A31" s="3">
        <v>5610</v>
      </c>
      <c r="B31" s="3" t="s">
        <v>60</v>
      </c>
      <c r="C31" s="190">
        <f>'400'!C31+'404'!C31+'411'!C31+'425'!C31+'426'!C31</f>
        <v>0</v>
      </c>
      <c r="D31" s="49">
        <f t="shared" si="41"/>
        <v>0</v>
      </c>
      <c r="E31" s="190">
        <f>'400'!E31+'404'!E31+'411'!E31+'425'!E31+'426'!E31</f>
        <v>0</v>
      </c>
      <c r="F31" s="49">
        <f t="shared" si="42"/>
        <v>0</v>
      </c>
      <c r="G31" s="190">
        <f>'400'!G31+'404'!G31+'411'!G31+'425'!G31+'426'!G31</f>
        <v>0</v>
      </c>
      <c r="H31" s="49">
        <f t="shared" si="43"/>
        <v>0</v>
      </c>
      <c r="I31" s="190">
        <f>'400'!I31+'404'!I31+'411'!I31+'425'!I31+'426'!I31</f>
        <v>0</v>
      </c>
      <c r="J31" s="49">
        <f t="shared" si="44"/>
        <v>0</v>
      </c>
      <c r="K31" s="190">
        <f>'400'!K31+'404'!K31+'411'!K31+'425'!K31+'426'!K31</f>
        <v>0</v>
      </c>
      <c r="L31" s="49">
        <f t="shared" si="45"/>
        <v>0</v>
      </c>
      <c r="M31" s="190">
        <f>'400'!M31+'404'!M31+'411'!M31+'425'!M31+'426'!M31</f>
        <v>0</v>
      </c>
      <c r="N31" s="49">
        <f t="shared" si="46"/>
        <v>0</v>
      </c>
      <c r="O31" s="190">
        <f>'400'!O31+'404'!O31+'411'!O31+'425'!O31+'426'!O31</f>
        <v>0</v>
      </c>
      <c r="P31" s="49">
        <f t="shared" si="47"/>
        <v>0</v>
      </c>
      <c r="Q31" s="190">
        <f>'400'!Q31+'404'!Q31+'411'!Q31+'425'!Q31+'426'!Q31</f>
        <v>0</v>
      </c>
      <c r="R31" s="49">
        <f t="shared" si="48"/>
        <v>0</v>
      </c>
      <c r="S31" s="190">
        <f>'400'!S31+'404'!S31+'411'!S31+'425'!S31+'426'!S31</f>
        <v>0</v>
      </c>
      <c r="T31" s="49">
        <f t="shared" si="49"/>
        <v>0</v>
      </c>
      <c r="U31" s="190">
        <f>'400'!U31+'404'!U31+'411'!U31+'425'!U31+'426'!U31</f>
        <v>0</v>
      </c>
      <c r="V31" s="49">
        <f t="shared" si="50"/>
        <v>0</v>
      </c>
      <c r="W31" s="190">
        <f>'400'!W31+'404'!W31+'411'!W31+'425'!W31+'426'!W31</f>
        <v>0</v>
      </c>
      <c r="X31" s="49">
        <f t="shared" si="51"/>
        <v>0</v>
      </c>
      <c r="Y31" s="190">
        <f>'400'!Y31+'404'!Y31+'411'!Y31+'425'!Y31+'426'!Y31</f>
        <v>0</v>
      </c>
      <c r="Z31" s="49">
        <f t="shared" si="52"/>
        <v>0</v>
      </c>
      <c r="AA31" s="320">
        <f>'400'!AA31+'404'!AA31+'411'!AA31+'425'!AA31+'426'!AA31</f>
        <v>0</v>
      </c>
      <c r="AB31" s="108">
        <f t="shared" ref="AB31" si="79">AA31/AA$12</f>
        <v>0</v>
      </c>
      <c r="AC31" s="89">
        <f t="shared" si="40"/>
        <v>0</v>
      </c>
      <c r="AD31" s="92">
        <f t="shared" ref="AD31" si="80">AC31/AC$12</f>
        <v>0</v>
      </c>
      <c r="AE31" s="144"/>
      <c r="AF31" s="64">
        <f t="shared" si="1"/>
        <v>0</v>
      </c>
      <c r="AG31" s="27" t="e">
        <f>'400'!#REF!+#REF!+#REF!+#REF!+'404'!#REF!+#REF!+#REF!+#REF!+#REF!+#REF!+#REF!</f>
        <v>#REF!</v>
      </c>
      <c r="AH31" s="27" t="e">
        <f t="shared" si="25"/>
        <v>#REF!</v>
      </c>
      <c r="AI31" s="27">
        <f>'400'!AA31+'404'!AA31+'411'!AA31</f>
        <v>0</v>
      </c>
    </row>
    <row r="32" spans="1:35" customFormat="1">
      <c r="A32" s="3">
        <v>5611</v>
      </c>
      <c r="B32" s="3" t="s">
        <v>96</v>
      </c>
      <c r="C32" s="190">
        <f>'400'!C32+'404'!C32+'411'!C32+'425'!C32+'426'!C32</f>
        <v>0</v>
      </c>
      <c r="D32" s="49">
        <f t="shared" si="41"/>
        <v>0</v>
      </c>
      <c r="E32" s="190">
        <f>'400'!E32+'404'!E32+'411'!E32+'425'!E32+'426'!E32</f>
        <v>0</v>
      </c>
      <c r="F32" s="49">
        <f t="shared" si="42"/>
        <v>0</v>
      </c>
      <c r="G32" s="190">
        <f>'400'!G32+'404'!G32+'411'!G32+'425'!G32+'426'!G32</f>
        <v>0</v>
      </c>
      <c r="H32" s="49">
        <f t="shared" si="43"/>
        <v>0</v>
      </c>
      <c r="I32" s="190">
        <f>'400'!I32+'404'!I32+'411'!I32+'425'!I32+'426'!I32</f>
        <v>0</v>
      </c>
      <c r="J32" s="49">
        <f t="shared" si="44"/>
        <v>0</v>
      </c>
      <c r="K32" s="190">
        <f>'400'!K32+'404'!K32+'411'!K32+'425'!K32+'426'!K32</f>
        <v>0</v>
      </c>
      <c r="L32" s="49">
        <f t="shared" si="45"/>
        <v>0</v>
      </c>
      <c r="M32" s="190">
        <f>'400'!M32+'404'!M32+'411'!M32+'425'!M32+'426'!M32</f>
        <v>0</v>
      </c>
      <c r="N32" s="49">
        <f t="shared" si="46"/>
        <v>0</v>
      </c>
      <c r="O32" s="190">
        <f>'400'!O32+'404'!O32+'411'!O32+'425'!O32+'426'!O32</f>
        <v>0</v>
      </c>
      <c r="P32" s="49">
        <f t="shared" si="47"/>
        <v>0</v>
      </c>
      <c r="Q32" s="190">
        <f>'400'!Q32+'404'!Q32+'411'!Q32+'425'!Q32+'426'!Q32</f>
        <v>0</v>
      </c>
      <c r="R32" s="49">
        <f t="shared" si="48"/>
        <v>0</v>
      </c>
      <c r="S32" s="190">
        <f>'400'!S32+'404'!S32+'411'!S32+'425'!S32+'426'!S32</f>
        <v>0</v>
      </c>
      <c r="T32" s="49">
        <f t="shared" si="49"/>
        <v>0</v>
      </c>
      <c r="U32" s="190">
        <f>'400'!U32+'404'!U32+'411'!U32+'425'!U32+'426'!U32</f>
        <v>0</v>
      </c>
      <c r="V32" s="49">
        <f t="shared" si="50"/>
        <v>0</v>
      </c>
      <c r="W32" s="190">
        <f>'400'!W32+'404'!W32+'411'!W32+'425'!W32+'426'!W32</f>
        <v>0</v>
      </c>
      <c r="X32" s="49">
        <f t="shared" si="51"/>
        <v>0</v>
      </c>
      <c r="Y32" s="190">
        <f>'400'!Y32+'404'!Y32+'411'!Y32+'425'!Y32+'426'!Y32</f>
        <v>0</v>
      </c>
      <c r="Z32" s="49">
        <f t="shared" si="52"/>
        <v>0</v>
      </c>
      <c r="AA32" s="320">
        <f>'400'!AA32+'404'!AA32+'411'!AA32+'425'!AA32+'426'!AA32</f>
        <v>0</v>
      </c>
      <c r="AB32" s="108">
        <f t="shared" ref="AB32" si="81">AA32/AA$12</f>
        <v>0</v>
      </c>
      <c r="AC32" s="89">
        <f t="shared" si="40"/>
        <v>0</v>
      </c>
      <c r="AD32" s="92">
        <f t="shared" ref="AD32" si="82">AC32/AC$12</f>
        <v>0</v>
      </c>
      <c r="AE32" s="144"/>
      <c r="AF32" s="64">
        <f t="shared" si="1"/>
        <v>0</v>
      </c>
      <c r="AG32" s="27" t="e">
        <f>'400'!#REF!+#REF!+#REF!+#REF!+'404'!#REF!+#REF!+#REF!+#REF!+#REF!+#REF!+#REF!</f>
        <v>#REF!</v>
      </c>
      <c r="AH32" s="27" t="e">
        <f t="shared" si="25"/>
        <v>#REF!</v>
      </c>
      <c r="AI32" s="27">
        <f>'400'!AA32+'404'!AA32+'411'!AA32</f>
        <v>0</v>
      </c>
    </row>
    <row r="33" spans="1:35" customFormat="1">
      <c r="A33" s="3">
        <v>5612</v>
      </c>
      <c r="B33" s="3" t="s">
        <v>61</v>
      </c>
      <c r="C33" s="190">
        <f>'400'!C33+'404'!C33+'411'!C33+'425'!C33+'426'!C33</f>
        <v>0</v>
      </c>
      <c r="D33" s="49">
        <f t="shared" si="41"/>
        <v>0</v>
      </c>
      <c r="E33" s="190">
        <f>'400'!E33+'404'!E33+'411'!E33+'425'!E33+'426'!E33</f>
        <v>0</v>
      </c>
      <c r="F33" s="49">
        <f t="shared" si="42"/>
        <v>0</v>
      </c>
      <c r="G33" s="190">
        <f>'400'!G33+'404'!G33+'411'!G33+'425'!G33+'426'!G33</f>
        <v>0</v>
      </c>
      <c r="H33" s="49">
        <f t="shared" si="43"/>
        <v>0</v>
      </c>
      <c r="I33" s="190">
        <f>'400'!I33+'404'!I33+'411'!I33+'425'!I33+'426'!I33</f>
        <v>0</v>
      </c>
      <c r="J33" s="49">
        <f t="shared" si="44"/>
        <v>0</v>
      </c>
      <c r="K33" s="190">
        <f>'400'!K33+'404'!K33+'411'!K33+'425'!K33+'426'!K33</f>
        <v>0</v>
      </c>
      <c r="L33" s="49">
        <f t="shared" si="45"/>
        <v>0</v>
      </c>
      <c r="M33" s="190">
        <f>'400'!M33+'404'!M33+'411'!M33+'425'!M33+'426'!M33</f>
        <v>0</v>
      </c>
      <c r="N33" s="49">
        <f t="shared" si="46"/>
        <v>0</v>
      </c>
      <c r="O33" s="190">
        <f>'400'!O33+'404'!O33+'411'!O33+'425'!O33+'426'!O33</f>
        <v>0</v>
      </c>
      <c r="P33" s="49">
        <f t="shared" si="47"/>
        <v>0</v>
      </c>
      <c r="Q33" s="190">
        <f>'400'!Q33+'404'!Q33+'411'!Q33+'425'!Q33+'426'!Q33</f>
        <v>0</v>
      </c>
      <c r="R33" s="49">
        <f t="shared" si="48"/>
        <v>0</v>
      </c>
      <c r="S33" s="190">
        <f>'400'!S33+'404'!S33+'411'!S33+'425'!S33+'426'!S33</f>
        <v>0</v>
      </c>
      <c r="T33" s="49">
        <f t="shared" si="49"/>
        <v>0</v>
      </c>
      <c r="U33" s="190">
        <f>'400'!U33+'404'!U33+'411'!U33+'425'!U33+'426'!U33</f>
        <v>0</v>
      </c>
      <c r="V33" s="49">
        <f t="shared" si="50"/>
        <v>0</v>
      </c>
      <c r="W33" s="190">
        <f>'400'!W33+'404'!W33+'411'!W33+'425'!W33+'426'!W33</f>
        <v>0</v>
      </c>
      <c r="X33" s="49">
        <f t="shared" si="51"/>
        <v>0</v>
      </c>
      <c r="Y33" s="190">
        <f>'400'!Y33+'404'!Y33+'411'!Y33+'425'!Y33+'426'!Y33</f>
        <v>0</v>
      </c>
      <c r="Z33" s="49">
        <f t="shared" si="52"/>
        <v>0</v>
      </c>
      <c r="AA33" s="320">
        <f>'400'!AA33+'404'!AA33+'411'!AA33+'425'!AA33+'426'!AA33</f>
        <v>0</v>
      </c>
      <c r="AB33" s="108">
        <f t="shared" ref="AB33" si="83">AA33/AA$12</f>
        <v>0</v>
      </c>
      <c r="AC33" s="89">
        <f t="shared" si="40"/>
        <v>0</v>
      </c>
      <c r="AD33" s="92">
        <f t="shared" ref="AD33" si="84">AC33/AC$12</f>
        <v>0</v>
      </c>
      <c r="AE33" s="144"/>
      <c r="AF33" s="64">
        <f t="shared" si="1"/>
        <v>0</v>
      </c>
      <c r="AG33" s="27" t="e">
        <f>'400'!#REF!+#REF!+#REF!+#REF!+'404'!#REF!+#REF!+#REF!+#REF!+#REF!+#REF!+#REF!</f>
        <v>#REF!</v>
      </c>
      <c r="AH33" s="27" t="e">
        <f t="shared" si="25"/>
        <v>#REF!</v>
      </c>
      <c r="AI33" s="27">
        <f>'400'!AA33+'404'!AA33+'411'!AA33</f>
        <v>0</v>
      </c>
    </row>
    <row r="34" spans="1:35" customFormat="1">
      <c r="A34" s="3">
        <v>5613</v>
      </c>
      <c r="B34" s="3" t="s">
        <v>62</v>
      </c>
      <c r="C34" s="190">
        <f>'400'!C34+'404'!C34+'411'!C34+'425'!C34+'426'!C34</f>
        <v>0</v>
      </c>
      <c r="D34" s="49">
        <f t="shared" si="41"/>
        <v>0</v>
      </c>
      <c r="E34" s="190">
        <f>'400'!E34+'404'!E34+'411'!E34+'425'!E34+'426'!E34</f>
        <v>0</v>
      </c>
      <c r="F34" s="49">
        <f t="shared" si="42"/>
        <v>0</v>
      </c>
      <c r="G34" s="190">
        <f>'400'!G34+'404'!G34+'411'!G34+'425'!G34+'426'!G34</f>
        <v>0</v>
      </c>
      <c r="H34" s="49">
        <f t="shared" si="43"/>
        <v>0</v>
      </c>
      <c r="I34" s="190">
        <f>'400'!I34+'404'!I34+'411'!I34+'425'!I34+'426'!I34</f>
        <v>0</v>
      </c>
      <c r="J34" s="49">
        <f t="shared" si="44"/>
        <v>0</v>
      </c>
      <c r="K34" s="190">
        <f>'400'!K34+'404'!K34+'411'!K34+'425'!K34+'426'!K34</f>
        <v>0</v>
      </c>
      <c r="L34" s="49">
        <f t="shared" si="45"/>
        <v>0</v>
      </c>
      <c r="M34" s="190">
        <f>'400'!M34+'404'!M34+'411'!M34+'425'!M34+'426'!M34</f>
        <v>0</v>
      </c>
      <c r="N34" s="49">
        <f t="shared" si="46"/>
        <v>0</v>
      </c>
      <c r="O34" s="190">
        <f>'400'!O34+'404'!O34+'411'!O34+'425'!O34+'426'!O34</f>
        <v>0</v>
      </c>
      <c r="P34" s="49">
        <f t="shared" si="47"/>
        <v>0</v>
      </c>
      <c r="Q34" s="190">
        <f>'400'!Q34+'404'!Q34+'411'!Q34+'425'!Q34+'426'!Q34</f>
        <v>0</v>
      </c>
      <c r="R34" s="49">
        <f t="shared" si="48"/>
        <v>0</v>
      </c>
      <c r="S34" s="190">
        <f>'400'!S34+'404'!S34+'411'!S34+'425'!S34+'426'!S34</f>
        <v>0</v>
      </c>
      <c r="T34" s="49">
        <f t="shared" si="49"/>
        <v>0</v>
      </c>
      <c r="U34" s="190">
        <f>'400'!U34+'404'!U34+'411'!U34+'425'!U34+'426'!U34</f>
        <v>0</v>
      </c>
      <c r="V34" s="49">
        <f t="shared" si="50"/>
        <v>0</v>
      </c>
      <c r="W34" s="190">
        <f>'400'!W34+'404'!W34+'411'!W34+'425'!W34+'426'!W34</f>
        <v>0</v>
      </c>
      <c r="X34" s="49">
        <f t="shared" si="51"/>
        <v>0</v>
      </c>
      <c r="Y34" s="190">
        <f>'400'!Y34+'404'!Y34+'411'!Y34+'425'!Y34+'426'!Y34</f>
        <v>0</v>
      </c>
      <c r="Z34" s="49">
        <f t="shared" si="52"/>
        <v>0</v>
      </c>
      <c r="AA34" s="320">
        <f>'400'!AA34+'404'!AA34+'411'!AA34+'425'!AA34+'426'!AA34</f>
        <v>0</v>
      </c>
      <c r="AB34" s="108">
        <f t="shared" ref="AB34" si="85">AA34/AA$12</f>
        <v>0</v>
      </c>
      <c r="AC34" s="89">
        <f t="shared" si="40"/>
        <v>0</v>
      </c>
      <c r="AD34" s="92">
        <f t="shared" ref="AD34" si="86">AC34/AC$12</f>
        <v>0</v>
      </c>
      <c r="AE34" s="144"/>
      <c r="AF34" s="64">
        <f t="shared" si="1"/>
        <v>0</v>
      </c>
      <c r="AG34" s="27" t="e">
        <f>'400'!#REF!+#REF!+#REF!+#REF!+'404'!#REF!+#REF!+#REF!+#REF!+#REF!+#REF!+#REF!</f>
        <v>#REF!</v>
      </c>
      <c r="AH34" s="27" t="e">
        <f t="shared" si="25"/>
        <v>#REF!</v>
      </c>
      <c r="AI34" s="27">
        <f>'400'!AA34+'404'!AA34+'411'!AA34</f>
        <v>0</v>
      </c>
    </row>
    <row r="35" spans="1:35" customFormat="1">
      <c r="A35" s="9">
        <v>5699</v>
      </c>
      <c r="B35" s="9" t="s">
        <v>97</v>
      </c>
      <c r="C35" s="231">
        <f>'400'!C35+'404'!C35+'411'!C35+'425'!C35+'426'!C35</f>
        <v>3380.0715999999998</v>
      </c>
      <c r="D35" s="232">
        <f t="shared" si="41"/>
        <v>4.926277343539353E-3</v>
      </c>
      <c r="E35" s="231">
        <f>'400'!E35+'404'!E35+'411'!E35+'425'!E35+'426'!E35</f>
        <v>2831.718124329585</v>
      </c>
      <c r="F35" s="232">
        <f t="shared" si="42"/>
        <v>5.3047245163194119E-3</v>
      </c>
      <c r="G35" s="231">
        <f>'400'!G35+'404'!G35+'411'!G35+'425'!G35+'426'!G35</f>
        <v>4097.7080597966069</v>
      </c>
      <c r="H35" s="232">
        <f t="shared" si="43"/>
        <v>4.6276976242953143E-3</v>
      </c>
      <c r="I35" s="231">
        <f>'400'!I35+'404'!I35+'411'!I35+'425'!I35+'426'!I35</f>
        <v>3724.7279390397289</v>
      </c>
      <c r="J35" s="232">
        <f t="shared" si="44"/>
        <v>4.7638780269178109E-3</v>
      </c>
      <c r="K35" s="231">
        <f>'400'!K35+'404'!K35+'411'!K35+'425'!K35+'426'!K35</f>
        <v>3484.3554390447384</v>
      </c>
      <c r="L35" s="232">
        <f t="shared" si="45"/>
        <v>4.8725515483656829E-3</v>
      </c>
      <c r="M35" s="231">
        <f>'400'!M35+'404'!M35+'411'!M35+'425'!M35+'426'!M35</f>
        <v>4560.4003700540543</v>
      </c>
      <c r="N35" s="232">
        <f t="shared" si="46"/>
        <v>4.4974358064596319E-3</v>
      </c>
      <c r="O35" s="231">
        <f>'400'!O35+'404'!O35+'411'!O35+'425'!O35+'426'!O35</f>
        <v>3221.1068804886963</v>
      </c>
      <c r="P35" s="232">
        <f t="shared" si="47"/>
        <v>5.0175025948203953E-3</v>
      </c>
      <c r="Q35" s="231">
        <f>'400'!Q35+'404'!Q35+'411'!Q35+'425'!Q35+'426'!Q35</f>
        <v>3779.7916367802336</v>
      </c>
      <c r="R35" s="232">
        <f t="shared" si="48"/>
        <v>4.7415462913800643E-3</v>
      </c>
      <c r="S35" s="231">
        <f>'400'!S35+'404'!S35+'411'!S35+'425'!S35+'426'!S35</f>
        <v>3800.9686207066047</v>
      </c>
      <c r="T35" s="232">
        <f t="shared" si="49"/>
        <v>4.733184212563084E-3</v>
      </c>
      <c r="U35" s="231">
        <f>'400'!U35+'404'!U35+'411'!U35+'425'!U35+'426'!U35</f>
        <v>3203.1351858473563</v>
      </c>
      <c r="V35" s="232">
        <f t="shared" si="50"/>
        <v>5.0286118063246482E-3</v>
      </c>
      <c r="W35" s="231">
        <f>'400'!W35+'404'!W35+'411'!W35+'425'!W35+'426'!W35</f>
        <v>3243.130970425872</v>
      </c>
      <c r="X35" s="232">
        <f t="shared" si="51"/>
        <v>5.0041217752135117E-3</v>
      </c>
      <c r="Y35" s="231">
        <f>'400'!Y35+'404'!Y35+'411'!Y35+'425'!Y35+'426'!Y35</f>
        <v>4434.575756331903</v>
      </c>
      <c r="Z35" s="232">
        <f t="shared" si="52"/>
        <v>4.5294735668866418E-3</v>
      </c>
      <c r="AA35" s="322">
        <f>'400'!AA35+'404'!AA35+'411'!AA35+'425'!AA35+'426'!AA35</f>
        <v>43761.690582845389</v>
      </c>
      <c r="AB35" s="119">
        <f t="shared" ref="AB35" si="87">AA35/AA$12</f>
        <v>4.7970151140920361E-3</v>
      </c>
      <c r="AC35" s="98">
        <f>SUM(AC22:AC34)</f>
        <v>3646.8075485704485</v>
      </c>
      <c r="AD35" s="122">
        <f t="shared" ref="AD35" si="88">AC35/AC$12</f>
        <v>4.7970151140920361E-3</v>
      </c>
      <c r="AE35" s="144"/>
      <c r="AF35" s="64">
        <f t="shared" si="1"/>
        <v>43761.690582845382</v>
      </c>
      <c r="AG35" s="27" t="e">
        <f>'400'!#REF!+#REF!+#REF!+#REF!+'404'!#REF!+#REF!+#REF!+#REF!+#REF!+#REF!+#REF!</f>
        <v>#REF!</v>
      </c>
      <c r="AH35" s="27" t="e">
        <f t="shared" si="25"/>
        <v>#REF!</v>
      </c>
      <c r="AI35" s="27">
        <f>'400'!AA35+'404'!AA35+'411'!AA35</f>
        <v>25646.072499514048</v>
      </c>
    </row>
    <row r="36" spans="1:35" customFormat="1">
      <c r="A36" s="9">
        <v>5999</v>
      </c>
      <c r="B36" s="9" t="s">
        <v>98</v>
      </c>
      <c r="C36" s="231">
        <f>'400'!C36+'404'!C36+'411'!C36+'425'!C36+'426'!C36</f>
        <v>355061.43209999998</v>
      </c>
      <c r="D36" s="232">
        <f t="shared" si="41"/>
        <v>0.51748344281194114</v>
      </c>
      <c r="E36" s="231">
        <f>'400'!E36+'404'!E36+'411'!E36+'425'!E36+'426'!E36</f>
        <v>274445.32764691231</v>
      </c>
      <c r="F36" s="232">
        <f t="shared" si="42"/>
        <v>0.5141249213505551</v>
      </c>
      <c r="G36" s="231">
        <f>'400'!G36+'404'!G36+'411'!G36+'425'!G36+'426'!G36</f>
        <v>490040.30066014343</v>
      </c>
      <c r="H36" s="232">
        <f t="shared" si="43"/>
        <v>0.55342115692020999</v>
      </c>
      <c r="I36" s="231">
        <f>'400'!I36+'404'!I36+'411'!I36+'425'!I36+'426'!I36</f>
        <v>420666.78342436743</v>
      </c>
      <c r="J36" s="232">
        <f t="shared" si="44"/>
        <v>0.53802728118880805</v>
      </c>
      <c r="K36" s="231">
        <f>'400'!K36+'404'!K36+'411'!K36+'425'!K36+'426'!K36</f>
        <v>333496.58855826518</v>
      </c>
      <c r="L36" s="232">
        <f t="shared" si="45"/>
        <v>0.46636439576317967</v>
      </c>
      <c r="M36" s="231">
        <f>'400'!M36+'404'!M36+'411'!M36+'425'!M36+'426'!M36</f>
        <v>575725.66428022971</v>
      </c>
      <c r="N36" s="232">
        <f t="shared" si="46"/>
        <v>0.56777673167344545</v>
      </c>
      <c r="O36" s="231">
        <f>'400'!O36+'404'!O36+'411'!O36+'425'!O36+'426'!O36</f>
        <v>347199.26130130794</v>
      </c>
      <c r="P36" s="232">
        <f t="shared" si="47"/>
        <v>0.54083060858717458</v>
      </c>
      <c r="Q36" s="231">
        <f>'400'!Q36+'404'!Q36+'411'!Q36+'425'!Q36+'426'!Q36</f>
        <v>447832.1417662325</v>
      </c>
      <c r="R36" s="232">
        <f t="shared" si="48"/>
        <v>0.5617814512022351</v>
      </c>
      <c r="S36" s="231">
        <f>'400'!S36+'404'!S36+'411'!S36+'425'!S36+'426'!S36</f>
        <v>424495.09307064814</v>
      </c>
      <c r="T36" s="232">
        <f t="shared" si="49"/>
        <v>0.52860564591006109</v>
      </c>
      <c r="U36" s="231">
        <f>'400'!U36+'404'!U36+'411'!U36+'425'!U36+'426'!U36</f>
        <v>310763.06321127794</v>
      </c>
      <c r="V36" s="232">
        <f t="shared" si="50"/>
        <v>0.48786789128927982</v>
      </c>
      <c r="W36" s="231">
        <f>'400'!W36+'404'!W36+'411'!W36+'425'!W36+'426'!W36</f>
        <v>300950.61875255313</v>
      </c>
      <c r="X36" s="232">
        <f t="shared" si="51"/>
        <v>0.46436408467520857</v>
      </c>
      <c r="Y36" s="231">
        <f>'400'!Y36+'404'!Y36+'411'!Y36+'425'!Y36+'426'!Y36</f>
        <v>506114.99353886384</v>
      </c>
      <c r="Z36" s="232">
        <f t="shared" si="52"/>
        <v>0.51694561351579971</v>
      </c>
      <c r="AA36" s="322">
        <f>'400'!AA36+'404'!AA36+'411'!AA36+'425'!AA36+'426'!AA36</f>
        <v>4786791.2683108011</v>
      </c>
      <c r="AB36" s="119">
        <f t="shared" ref="AB36" si="89">AA36/AA$12</f>
        <v>0.52471259122452507</v>
      </c>
      <c r="AC36" s="98">
        <f>AC21+AC35</f>
        <v>398899.27235923341</v>
      </c>
      <c r="AD36" s="122">
        <f t="shared" ref="AD36" si="90">AC36/AC$12</f>
        <v>0.52471259122452518</v>
      </c>
      <c r="AE36" s="144"/>
      <c r="AF36" s="64">
        <f t="shared" si="1"/>
        <v>4786791.2683108021</v>
      </c>
      <c r="AG36" s="27" t="e">
        <f>'400'!#REF!+#REF!+#REF!+#REF!+'404'!#REF!+#REF!+#REF!+#REF!+#REF!+#REF!+#REF!</f>
        <v>#REF!</v>
      </c>
      <c r="AH36" s="27" t="e">
        <f t="shared" si="25"/>
        <v>#REF!</v>
      </c>
      <c r="AI36" s="27">
        <f>'400'!AA36+'404'!AA36+'411'!AA36</f>
        <v>2694574.9203354223</v>
      </c>
    </row>
    <row r="37" spans="1:35" customFormat="1" ht="15.75" thickBot="1">
      <c r="A37" s="10"/>
      <c r="B37" s="10" t="s">
        <v>68</v>
      </c>
      <c r="C37" s="34">
        <f>'400'!C37+'404'!C37+'411'!C37+'425'!C37+'426'!C37</f>
        <v>331069.56790000002</v>
      </c>
      <c r="D37" s="80">
        <f t="shared" si="41"/>
        <v>0.48251655718805886</v>
      </c>
      <c r="E37" s="34">
        <f>'400'!E37+'404'!E37+'411'!E37+'425'!E37+'426'!E37</f>
        <v>259365.26244463908</v>
      </c>
      <c r="F37" s="80">
        <f t="shared" si="42"/>
        <v>0.48587507864944479</v>
      </c>
      <c r="G37" s="34">
        <f>'400'!G37+'404'!G37+'411'!G37+'425'!G37+'426'!G37</f>
        <v>395434.16039446957</v>
      </c>
      <c r="H37" s="80">
        <f t="shared" si="43"/>
        <v>0.44657884307978984</v>
      </c>
      <c r="I37" s="34">
        <f>'400'!I37+'404'!I37+'411'!I37+'425'!I37+'426'!I37</f>
        <v>361202.088531113</v>
      </c>
      <c r="J37" s="80">
        <f t="shared" si="44"/>
        <v>0.46197271881119195</v>
      </c>
      <c r="K37" s="34">
        <f>'400'!K37+'404'!K37+'411'!K37+'425'!K37+'426'!K37</f>
        <v>381602.14450971782</v>
      </c>
      <c r="L37" s="80">
        <f t="shared" si="45"/>
        <v>0.53363560423682044</v>
      </c>
      <c r="M37" s="34">
        <f>'400'!M37+'404'!M37+'411'!M37+'425'!M37+'426'!M37</f>
        <v>438274.43851256324</v>
      </c>
      <c r="N37" s="80">
        <f t="shared" si="46"/>
        <v>0.43222326832655455</v>
      </c>
      <c r="O37" s="34">
        <f>'400'!O37+'404'!O37+'411'!O37+'425'!O37+'426'!O37</f>
        <v>294774.87216777459</v>
      </c>
      <c r="P37" s="80">
        <f t="shared" si="47"/>
        <v>0.45916939141282542</v>
      </c>
      <c r="Q37" s="34">
        <f>'400'!Q37+'404'!Q37+'411'!Q37+'425'!Q37+'426'!Q37</f>
        <v>349332.20178383245</v>
      </c>
      <c r="R37" s="80">
        <f t="shared" si="48"/>
        <v>0.43821854879776506</v>
      </c>
      <c r="S37" s="34">
        <f>'400'!S37+'404'!S37+'411'!S37+'425'!S37+'426'!S37</f>
        <v>378551.74601451989</v>
      </c>
      <c r="T37" s="80">
        <f t="shared" si="49"/>
        <v>0.47139435408993896</v>
      </c>
      <c r="U37" s="34">
        <f>'400'!U37+'404'!U37+'411'!U37+'425'!U37+'426'!U37</f>
        <v>326218.93285743223</v>
      </c>
      <c r="V37" s="80">
        <f t="shared" si="50"/>
        <v>0.51213210871072024</v>
      </c>
      <c r="W37" s="34">
        <f>'400'!W37+'404'!W37+'411'!W37+'425'!W37+'426'!W37</f>
        <v>347141.31747685582</v>
      </c>
      <c r="X37" s="80">
        <f t="shared" si="51"/>
        <v>0.53563591532479149</v>
      </c>
      <c r="Y37" s="34">
        <f>'400'!Y37+'404'!Y37+'411'!Y37+'425'!Y37+'426'!Y37</f>
        <v>472933.82766444271</v>
      </c>
      <c r="Z37" s="80">
        <f t="shared" si="52"/>
        <v>0.48305438648420024</v>
      </c>
      <c r="AA37" s="321">
        <f>'400'!AA37+'404'!AA37+'411'!AA37+'425'!AA37+'426'!AA37</f>
        <v>4335900.5602573603</v>
      </c>
      <c r="AB37" s="80">
        <f t="shared" ref="AB37" si="91">AA37/AA$12</f>
        <v>0.47528740877547487</v>
      </c>
      <c r="AC37" s="44">
        <f>(AC16-AC36)</f>
        <v>361325.0466881133</v>
      </c>
      <c r="AD37" s="80">
        <f t="shared" ref="AD37" si="92">AC37/AC$12</f>
        <v>0.47528740877547487</v>
      </c>
      <c r="AE37" s="144"/>
      <c r="AF37" s="64">
        <f t="shared" si="1"/>
        <v>4335900.5602573603</v>
      </c>
      <c r="AG37" s="27" t="e">
        <f>'400'!#REF!+#REF!+#REF!+#REF!+'404'!#REF!+#REF!+#REF!+#REF!+#REF!+#REF!+#REF!</f>
        <v>#REF!</v>
      </c>
      <c r="AH37" s="27" t="e">
        <f t="shared" si="25"/>
        <v>#REF!</v>
      </c>
      <c r="AI37" s="27">
        <f>'400'!AA37+'404'!AA37+'411'!AA37</f>
        <v>2396000.7739740354</v>
      </c>
    </row>
    <row r="38" spans="1:35" customFormat="1" ht="15.75" thickTop="1">
      <c r="A38" s="2">
        <v>6002</v>
      </c>
      <c r="B38" s="2" t="s">
        <v>45</v>
      </c>
      <c r="C38" s="190">
        <f>'400'!C38+'404'!C38+'411'!C38+'425'!C38+'426'!C38</f>
        <v>0</v>
      </c>
      <c r="D38" s="49">
        <f t="shared" si="41"/>
        <v>0</v>
      </c>
      <c r="E38" s="190">
        <f>'400'!E38+'404'!E38+'411'!E38+'425'!E38+'426'!E38</f>
        <v>0</v>
      </c>
      <c r="F38" s="49">
        <f t="shared" si="42"/>
        <v>0</v>
      </c>
      <c r="G38" s="190">
        <f>'400'!G38+'404'!G38+'411'!G38+'425'!G38+'426'!G38</f>
        <v>0</v>
      </c>
      <c r="H38" s="49">
        <f t="shared" si="43"/>
        <v>0</v>
      </c>
      <c r="I38" s="190">
        <f>'400'!I38+'404'!I38+'411'!I38+'425'!I38+'426'!I38</f>
        <v>0</v>
      </c>
      <c r="J38" s="49">
        <f t="shared" si="44"/>
        <v>0</v>
      </c>
      <c r="K38" s="190">
        <f>'400'!K38+'404'!K38+'411'!K38+'425'!K38+'426'!K38</f>
        <v>0</v>
      </c>
      <c r="L38" s="49">
        <f t="shared" si="45"/>
        <v>0</v>
      </c>
      <c r="M38" s="190">
        <f>'400'!M38+'404'!M38+'411'!M38+'425'!M38+'426'!M38</f>
        <v>0</v>
      </c>
      <c r="N38" s="49">
        <f t="shared" si="46"/>
        <v>0</v>
      </c>
      <c r="O38" s="190">
        <f>'400'!O38+'404'!O38+'411'!O38+'425'!O38+'426'!O38</f>
        <v>0</v>
      </c>
      <c r="P38" s="49">
        <f t="shared" si="47"/>
        <v>0</v>
      </c>
      <c r="Q38" s="190">
        <f>'400'!Q38+'404'!Q38+'411'!Q38+'425'!Q38+'426'!Q38</f>
        <v>0</v>
      </c>
      <c r="R38" s="49">
        <f t="shared" si="48"/>
        <v>0</v>
      </c>
      <c r="S38" s="190">
        <f>'400'!S38+'404'!S38+'411'!S38+'425'!S38+'426'!S38</f>
        <v>0</v>
      </c>
      <c r="T38" s="49">
        <f t="shared" si="49"/>
        <v>0</v>
      </c>
      <c r="U38" s="190">
        <f>'400'!U38+'404'!U38+'411'!U38+'425'!U38+'426'!U38</f>
        <v>0</v>
      </c>
      <c r="V38" s="49">
        <f t="shared" si="50"/>
        <v>0</v>
      </c>
      <c r="W38" s="190">
        <f>'400'!W38+'404'!W38+'411'!W38+'425'!W38+'426'!W38</f>
        <v>0</v>
      </c>
      <c r="X38" s="49">
        <f t="shared" si="51"/>
        <v>0</v>
      </c>
      <c r="Y38" s="190">
        <f>'400'!Y38+'404'!Y38+'411'!Y38+'425'!Y38+'426'!Y38</f>
        <v>0</v>
      </c>
      <c r="Z38" s="49">
        <f t="shared" si="52"/>
        <v>0</v>
      </c>
      <c r="AA38" s="320">
        <f>'400'!AA38+'404'!AA38+'411'!AA38+'425'!AA38+'426'!AA38</f>
        <v>0</v>
      </c>
      <c r="AB38" s="108">
        <f t="shared" ref="AB38" si="93">AA38/AA$12</f>
        <v>0</v>
      </c>
      <c r="AC38" s="89">
        <f t="shared" ref="AC38:AC42" si="94">AA38/12</f>
        <v>0</v>
      </c>
      <c r="AD38" s="92">
        <f t="shared" ref="AD38" si="95">AC38/AC$12</f>
        <v>0</v>
      </c>
      <c r="AE38" s="144"/>
      <c r="AF38" s="64">
        <f t="shared" si="1"/>
        <v>0</v>
      </c>
      <c r="AG38" s="27" t="e">
        <f>'400'!#REF!+#REF!+#REF!+#REF!+'404'!#REF!+#REF!+#REF!+#REF!+#REF!+#REF!+#REF!</f>
        <v>#REF!</v>
      </c>
      <c r="AH38" s="27" t="e">
        <f t="shared" si="25"/>
        <v>#REF!</v>
      </c>
      <c r="AI38" s="27">
        <f>'400'!AA38+'404'!AA38+'411'!AA38</f>
        <v>0</v>
      </c>
    </row>
    <row r="39" spans="1:35" customFormat="1">
      <c r="A39" s="2">
        <v>6003</v>
      </c>
      <c r="B39" s="2" t="s">
        <v>0</v>
      </c>
      <c r="C39" s="190">
        <f>'400'!C39+'404'!C39+'411'!C39+'425'!C39+'426'!C39</f>
        <v>0</v>
      </c>
      <c r="D39" s="49">
        <f t="shared" si="41"/>
        <v>0</v>
      </c>
      <c r="E39" s="190">
        <f>'400'!E39+'404'!E39+'411'!E39+'425'!E39+'426'!E39</f>
        <v>0</v>
      </c>
      <c r="F39" s="49">
        <f t="shared" si="42"/>
        <v>0</v>
      </c>
      <c r="G39" s="190">
        <f>'400'!G39+'404'!G39+'411'!G39+'425'!G39+'426'!G39</f>
        <v>0</v>
      </c>
      <c r="H39" s="49">
        <f t="shared" si="43"/>
        <v>0</v>
      </c>
      <c r="I39" s="190">
        <f>'400'!I39+'404'!I39+'411'!I39+'425'!I39+'426'!I39</f>
        <v>0</v>
      </c>
      <c r="J39" s="49">
        <f t="shared" si="44"/>
        <v>0</v>
      </c>
      <c r="K39" s="190">
        <f>'400'!K39+'404'!K39+'411'!K39+'425'!K39+'426'!K39</f>
        <v>0</v>
      </c>
      <c r="L39" s="49">
        <f t="shared" si="45"/>
        <v>0</v>
      </c>
      <c r="M39" s="190">
        <f>'400'!M39+'404'!M39+'411'!M39+'425'!M39+'426'!M39</f>
        <v>0</v>
      </c>
      <c r="N39" s="49">
        <f t="shared" si="46"/>
        <v>0</v>
      </c>
      <c r="O39" s="190">
        <f>'400'!O39+'404'!O39+'411'!O39+'425'!O39+'426'!O39</f>
        <v>0</v>
      </c>
      <c r="P39" s="49">
        <f t="shared" si="47"/>
        <v>0</v>
      </c>
      <c r="Q39" s="190">
        <f>'400'!Q39+'404'!Q39+'411'!Q39+'425'!Q39+'426'!Q39</f>
        <v>0</v>
      </c>
      <c r="R39" s="49">
        <f t="shared" si="48"/>
        <v>0</v>
      </c>
      <c r="S39" s="190">
        <f>'400'!S39+'404'!S39+'411'!S39+'425'!S39+'426'!S39</f>
        <v>0</v>
      </c>
      <c r="T39" s="49">
        <f t="shared" si="49"/>
        <v>0</v>
      </c>
      <c r="U39" s="190">
        <f>'400'!U39+'404'!U39+'411'!U39+'425'!U39+'426'!U39</f>
        <v>0</v>
      </c>
      <c r="V39" s="49">
        <f t="shared" si="50"/>
        <v>0</v>
      </c>
      <c r="W39" s="190">
        <f>'400'!W39+'404'!W39+'411'!W39+'425'!W39+'426'!W39</f>
        <v>0</v>
      </c>
      <c r="X39" s="49">
        <f t="shared" si="51"/>
        <v>0</v>
      </c>
      <c r="Y39" s="190">
        <f>'400'!Y39+'404'!Y39+'411'!Y39+'425'!Y39+'426'!Y39</f>
        <v>0</v>
      </c>
      <c r="Z39" s="49">
        <f t="shared" si="52"/>
        <v>0</v>
      </c>
      <c r="AA39" s="320">
        <f>'400'!AA39+'404'!AA39+'411'!AA39+'425'!AA39+'426'!AA39</f>
        <v>0</v>
      </c>
      <c r="AB39" s="108">
        <f t="shared" ref="AB39" si="96">AA39/AA$12</f>
        <v>0</v>
      </c>
      <c r="AC39" s="89">
        <f t="shared" si="94"/>
        <v>0</v>
      </c>
      <c r="AD39" s="92">
        <f t="shared" ref="AD39" si="97">AC39/AC$12</f>
        <v>0</v>
      </c>
      <c r="AE39" s="144"/>
      <c r="AF39" s="64">
        <f t="shared" si="1"/>
        <v>0</v>
      </c>
      <c r="AG39" s="27" t="e">
        <f>'400'!#REF!+#REF!+#REF!+#REF!+'404'!#REF!+#REF!+#REF!+#REF!+#REF!+#REF!+#REF!</f>
        <v>#REF!</v>
      </c>
      <c r="AH39" s="27" t="e">
        <f t="shared" si="25"/>
        <v>#REF!</v>
      </c>
      <c r="AI39" s="27">
        <f>'400'!AA39+'404'!AA39+'411'!AA39</f>
        <v>0</v>
      </c>
    </row>
    <row r="40" spans="1:35" customFormat="1">
      <c r="A40" s="2">
        <v>6004</v>
      </c>
      <c r="B40" s="2" t="s">
        <v>1</v>
      </c>
      <c r="C40" s="190">
        <f>'400'!C40+'404'!C40+'411'!C40+'425'!C40+'426'!C40</f>
        <v>0</v>
      </c>
      <c r="D40" s="49">
        <f t="shared" si="41"/>
        <v>0</v>
      </c>
      <c r="E40" s="190">
        <f>'400'!E40+'404'!E40+'411'!E40+'425'!E40+'426'!E40</f>
        <v>0</v>
      </c>
      <c r="F40" s="49">
        <f t="shared" si="42"/>
        <v>0</v>
      </c>
      <c r="G40" s="190">
        <f>'400'!G40+'404'!G40+'411'!G40+'425'!G40+'426'!G40</f>
        <v>0</v>
      </c>
      <c r="H40" s="49">
        <f t="shared" si="43"/>
        <v>0</v>
      </c>
      <c r="I40" s="190">
        <f>'400'!I40+'404'!I40+'411'!I40+'425'!I40+'426'!I40</f>
        <v>0</v>
      </c>
      <c r="J40" s="49">
        <f t="shared" si="44"/>
        <v>0</v>
      </c>
      <c r="K40" s="190">
        <f>'400'!K40+'404'!K40+'411'!K40+'425'!K40+'426'!K40</f>
        <v>0</v>
      </c>
      <c r="L40" s="49">
        <f t="shared" si="45"/>
        <v>0</v>
      </c>
      <c r="M40" s="190">
        <f>'400'!M40+'404'!M40+'411'!M40+'425'!M40+'426'!M40</f>
        <v>0</v>
      </c>
      <c r="N40" s="49">
        <f t="shared" si="46"/>
        <v>0</v>
      </c>
      <c r="O40" s="190">
        <f>'400'!O40+'404'!O40+'411'!O40+'425'!O40+'426'!O40</f>
        <v>0</v>
      </c>
      <c r="P40" s="49">
        <f t="shared" si="47"/>
        <v>0</v>
      </c>
      <c r="Q40" s="190">
        <f>'400'!Q40+'404'!Q40+'411'!Q40+'425'!Q40+'426'!Q40</f>
        <v>0</v>
      </c>
      <c r="R40" s="49">
        <f t="shared" si="48"/>
        <v>0</v>
      </c>
      <c r="S40" s="190">
        <f>'400'!S40+'404'!S40+'411'!S40+'425'!S40+'426'!S40</f>
        <v>0</v>
      </c>
      <c r="T40" s="49">
        <f t="shared" si="49"/>
        <v>0</v>
      </c>
      <c r="U40" s="190">
        <f>'400'!U40+'404'!U40+'411'!U40+'425'!U40+'426'!U40</f>
        <v>0</v>
      </c>
      <c r="V40" s="49">
        <f t="shared" si="50"/>
        <v>0</v>
      </c>
      <c r="W40" s="190">
        <f>'400'!W40+'404'!W40+'411'!W40+'425'!W40+'426'!W40</f>
        <v>0</v>
      </c>
      <c r="X40" s="49">
        <f t="shared" si="51"/>
        <v>0</v>
      </c>
      <c r="Y40" s="190">
        <f>'400'!Y40+'404'!Y40+'411'!Y40+'425'!Y40+'426'!Y40</f>
        <v>0</v>
      </c>
      <c r="Z40" s="49">
        <f t="shared" si="52"/>
        <v>0</v>
      </c>
      <c r="AA40" s="320">
        <f>'400'!AA40+'404'!AA40+'411'!AA40+'425'!AA40+'426'!AA40</f>
        <v>0</v>
      </c>
      <c r="AB40" s="108">
        <f t="shared" ref="AB40" si="98">AA40/AA$12</f>
        <v>0</v>
      </c>
      <c r="AC40" s="89">
        <f t="shared" si="94"/>
        <v>0</v>
      </c>
      <c r="AD40" s="92">
        <f t="shared" ref="AD40" si="99">AC40/AC$12</f>
        <v>0</v>
      </c>
      <c r="AE40" s="144"/>
      <c r="AF40" s="64">
        <f t="shared" si="1"/>
        <v>0</v>
      </c>
      <c r="AG40" s="27" t="e">
        <f>'400'!#REF!+#REF!+#REF!+#REF!+'404'!#REF!+#REF!+#REF!+#REF!+#REF!+#REF!+#REF!</f>
        <v>#REF!</v>
      </c>
      <c r="AH40" s="27" t="e">
        <f t="shared" si="25"/>
        <v>#REF!</v>
      </c>
      <c r="AI40" s="27">
        <f>'400'!AA40+'404'!AA40+'411'!AA40</f>
        <v>0</v>
      </c>
    </row>
    <row r="41" spans="1:35" customFormat="1" ht="15.75" thickBot="1">
      <c r="A41" s="235">
        <v>6099</v>
      </c>
      <c r="B41" s="235" t="s">
        <v>99</v>
      </c>
      <c r="C41" s="236">
        <f>'400'!C41+'404'!C41+'411'!C41+'425'!C41+'426'!C41</f>
        <v>0</v>
      </c>
      <c r="D41" s="237">
        <f t="shared" si="41"/>
        <v>0</v>
      </c>
      <c r="E41" s="236">
        <f>'400'!E41+'404'!E41+'411'!E41+'425'!E41+'426'!E41</f>
        <v>0</v>
      </c>
      <c r="F41" s="237">
        <f t="shared" si="42"/>
        <v>0</v>
      </c>
      <c r="G41" s="236">
        <f>'400'!G41+'404'!G41+'411'!G41+'425'!G41+'426'!G41</f>
        <v>0</v>
      </c>
      <c r="H41" s="237">
        <f t="shared" si="43"/>
        <v>0</v>
      </c>
      <c r="I41" s="236">
        <f>'400'!I41+'404'!I41+'411'!I41+'425'!I41+'426'!I41</f>
        <v>0</v>
      </c>
      <c r="J41" s="237">
        <f t="shared" si="44"/>
        <v>0</v>
      </c>
      <c r="K41" s="236">
        <f>'400'!K41+'404'!K41+'411'!K41+'425'!K41+'426'!K41</f>
        <v>0</v>
      </c>
      <c r="L41" s="237">
        <f t="shared" si="45"/>
        <v>0</v>
      </c>
      <c r="M41" s="236">
        <f>'400'!M41+'404'!M41+'411'!M41+'425'!M41+'426'!M41</f>
        <v>0</v>
      </c>
      <c r="N41" s="237">
        <f t="shared" si="46"/>
        <v>0</v>
      </c>
      <c r="O41" s="236">
        <f>'400'!O41+'404'!O41+'411'!O41+'425'!O41+'426'!O41</f>
        <v>0</v>
      </c>
      <c r="P41" s="237">
        <f t="shared" si="47"/>
        <v>0</v>
      </c>
      <c r="Q41" s="236">
        <f>'400'!Q41+'404'!Q41+'411'!Q41+'425'!Q41+'426'!Q41</f>
        <v>0</v>
      </c>
      <c r="R41" s="237">
        <f t="shared" si="48"/>
        <v>0</v>
      </c>
      <c r="S41" s="236">
        <f>'400'!S41+'404'!S41+'411'!S41+'425'!S41+'426'!S41</f>
        <v>0</v>
      </c>
      <c r="T41" s="237">
        <f t="shared" si="49"/>
        <v>0</v>
      </c>
      <c r="U41" s="236">
        <f>'400'!U41+'404'!U41+'411'!U41+'425'!U41+'426'!U41</f>
        <v>0</v>
      </c>
      <c r="V41" s="237">
        <f t="shared" si="50"/>
        <v>0</v>
      </c>
      <c r="W41" s="236">
        <f>'400'!W41+'404'!W41+'411'!W41+'425'!W41+'426'!W41</f>
        <v>0</v>
      </c>
      <c r="X41" s="237">
        <f t="shared" si="51"/>
        <v>0</v>
      </c>
      <c r="Y41" s="236">
        <f>'400'!Y41+'404'!Y41+'411'!Y41+'425'!Y41+'426'!Y41</f>
        <v>0</v>
      </c>
      <c r="Z41" s="237">
        <f t="shared" si="52"/>
        <v>0</v>
      </c>
      <c r="AA41" s="321">
        <f>'400'!AA41+'404'!AA41+'411'!AA41+'425'!AA41+'426'!AA41</f>
        <v>0</v>
      </c>
      <c r="AB41" s="256">
        <f t="shared" ref="AB41" si="100">AA41/AA$12</f>
        <v>0</v>
      </c>
      <c r="AC41" s="238">
        <f>SUM(AC38:AC40)</f>
        <v>0</v>
      </c>
      <c r="AD41" s="237">
        <f t="shared" ref="AD41" si="101">AC41/AC$12</f>
        <v>0</v>
      </c>
      <c r="AE41" s="144"/>
      <c r="AF41" s="64">
        <f t="shared" si="1"/>
        <v>0</v>
      </c>
      <c r="AG41" s="27" t="e">
        <f>'400'!#REF!+#REF!+#REF!+#REF!+'404'!#REF!+#REF!+#REF!+#REF!+#REF!+#REF!+#REF!</f>
        <v>#REF!</v>
      </c>
      <c r="AH41" s="27" t="e">
        <f t="shared" si="25"/>
        <v>#REF!</v>
      </c>
      <c r="AI41" s="27">
        <f>'400'!AA41+'404'!AA41+'411'!AA41</f>
        <v>0</v>
      </c>
    </row>
    <row r="42" spans="1:35" customFormat="1" ht="15.75" thickTop="1">
      <c r="A42" s="128">
        <v>6101</v>
      </c>
      <c r="B42" s="2" t="s">
        <v>2</v>
      </c>
      <c r="C42" s="190">
        <f>'400'!C42+'404'!C42+'411'!C42+'425'!C42+'426'!C42</f>
        <v>86432.222999999998</v>
      </c>
      <c r="D42" s="49">
        <f t="shared" si="41"/>
        <v>0.12597043858971538</v>
      </c>
      <c r="E42" s="190">
        <f>'400'!E42+'404'!E42+'411'!E42+'425'!E42+'426'!E42</f>
        <v>86059.357428708521</v>
      </c>
      <c r="F42" s="49">
        <f t="shared" si="42"/>
        <v>0.16121702908507093</v>
      </c>
      <c r="G42" s="190">
        <f>'400'!G42+'404'!G42+'411'!G42+'425'!G42+'426'!G42</f>
        <v>86920.171849999999</v>
      </c>
      <c r="H42" s="49">
        <f t="shared" si="43"/>
        <v>9.8162257267676356E-2</v>
      </c>
      <c r="I42" s="190">
        <f>'400'!I42+'404'!I42+'411'!I42+'425'!I42+'426'!I42</f>
        <v>86666.562059627919</v>
      </c>
      <c r="J42" s="49">
        <f t="shared" si="44"/>
        <v>0.11084539258209875</v>
      </c>
      <c r="K42" s="190">
        <f>'400'!K42+'404'!K42+'411'!K42+'425'!K42+'426'!K42</f>
        <v>86503.119514499995</v>
      </c>
      <c r="L42" s="49">
        <f t="shared" si="45"/>
        <v>0.12096667986443814</v>
      </c>
      <c r="M42" s="190">
        <f>'400'!M42+'404'!M42+'411'!M42+'425'!M42+'426'!M42</f>
        <v>87234.781922360591</v>
      </c>
      <c r="N42" s="49">
        <f t="shared" si="46"/>
        <v>8.6030348204201995E-2</v>
      </c>
      <c r="O42" s="190">
        <f>'400'!O42+'404'!O42+'411'!O42+'425'!O42+'426'!O42</f>
        <v>86324.122273249173</v>
      </c>
      <c r="P42" s="49">
        <f t="shared" si="47"/>
        <v>0.13446666738233393</v>
      </c>
      <c r="Q42" s="190">
        <f>'400'!Q42+'404'!Q42+'411'!Q42+'425'!Q42+'426'!Q42</f>
        <v>86704.002910385287</v>
      </c>
      <c r="R42" s="49">
        <f t="shared" si="48"/>
        <v>0.10876553073643586</v>
      </c>
      <c r="S42" s="190">
        <f>'400'!S42+'404'!S42+'411'!S42+'425'!S42+'426'!S42</f>
        <v>86718.40231193685</v>
      </c>
      <c r="T42" s="49">
        <f t="shared" si="49"/>
        <v>0.10798673015228671</v>
      </c>
      <c r="U42" s="190">
        <f>'400'!U42+'404'!U42+'411'!U42+'425'!U42+'426'!U42</f>
        <v>86311.898991664362</v>
      </c>
      <c r="V42" s="49">
        <f t="shared" si="50"/>
        <v>0.13550131640196947</v>
      </c>
      <c r="W42" s="190">
        <f>'400'!W42+'404'!W42+'411'!W42+'425'!W42+'426'!W42</f>
        <v>86339.094335652801</v>
      </c>
      <c r="X42" s="49">
        <f t="shared" si="51"/>
        <v>0.1332204422075865</v>
      </c>
      <c r="Y42" s="190">
        <f>'400'!Y42+'404'!Y42+'411'!Y42+'425'!Y42+'426'!Y42</f>
        <v>87149.223481446636</v>
      </c>
      <c r="Z42" s="49">
        <f t="shared" si="52"/>
        <v>8.9014175385386085E-2</v>
      </c>
      <c r="AA42" s="320">
        <f>'400'!AA42+'404'!AA42+'411'!AA42+'425'!AA42+'426'!AA42</f>
        <v>1039362.9600795319</v>
      </c>
      <c r="AB42" s="108">
        <f t="shared" ref="AB42" si="102">AA42/AA$12</f>
        <v>0.11393160917972864</v>
      </c>
      <c r="AC42" s="89">
        <f t="shared" si="94"/>
        <v>86613.580006627657</v>
      </c>
      <c r="AD42" s="92">
        <f t="shared" ref="AD42" si="103">AC42/AC$12</f>
        <v>0.11393160917972867</v>
      </c>
      <c r="AE42" s="144"/>
      <c r="AF42" s="64">
        <f t="shared" si="1"/>
        <v>1039362.960079532</v>
      </c>
      <c r="AG42" s="27" t="e">
        <f>'400'!#REF!+#REF!+#REF!+#REF!+'404'!#REF!+#REF!+#REF!+#REF!+#REF!+#REF!+#REF!</f>
        <v>#REF!</v>
      </c>
      <c r="AH42" s="27" t="e">
        <f t="shared" si="25"/>
        <v>#REF!</v>
      </c>
      <c r="AI42" s="27">
        <f>'400'!AA42+'404'!AA42+'411'!AA42</f>
        <v>625862.96407953207</v>
      </c>
    </row>
    <row r="43" spans="1:35" customFormat="1">
      <c r="A43" s="128">
        <v>6102</v>
      </c>
      <c r="B43" s="2" t="s">
        <v>3</v>
      </c>
      <c r="C43" s="190">
        <f>'400'!C43+'404'!C43+'411'!C43+'425'!C43+'426'!C43</f>
        <v>31532.485999999997</v>
      </c>
      <c r="D43" s="49">
        <f t="shared" ref="D43:D75" si="104">C43/C$12</f>
        <v>4.5956946997002028E-2</v>
      </c>
      <c r="E43" s="190">
        <f>'400'!E43+'404'!E43+'411'!E43+'425'!E43+'426'!E43</f>
        <v>32466.159499999998</v>
      </c>
      <c r="F43" s="49">
        <f t="shared" ref="F43:F75" si="105">E43/E$12</f>
        <v>6.0819624231193831E-2</v>
      </c>
      <c r="G43" s="190">
        <f>'400'!G43+'404'!G43+'411'!G43+'425'!G43+'426'!G43</f>
        <v>31254.956499999997</v>
      </c>
      <c r="H43" s="49">
        <f t="shared" ref="H43:H75" si="106">G43/G$12</f>
        <v>3.5297411585168567E-2</v>
      </c>
      <c r="I43" s="190">
        <f>'400'!I43+'404'!I43+'411'!I43+'425'!I43+'426'!I43</f>
        <v>32965.133000000002</v>
      </c>
      <c r="J43" s="49">
        <f t="shared" ref="J43:J75" si="107">I43/I$12</f>
        <v>4.2161971377058523E-2</v>
      </c>
      <c r="K43" s="190">
        <f>'400'!K43+'404'!K43+'411'!K43+'425'!K43+'426'!K43</f>
        <v>33351.084499999997</v>
      </c>
      <c r="L43" s="49">
        <f t="shared" ref="L43:L75" si="108">K43/K$12</f>
        <v>4.6638433208955749E-2</v>
      </c>
      <c r="M43" s="190">
        <f>'400'!M43+'404'!M43+'411'!M43+'425'!M43+'426'!M43</f>
        <v>34875.214</v>
      </c>
      <c r="N43" s="49">
        <f t="shared" ref="N43:N75" si="109">M43/M$12</f>
        <v>3.4393698683013466E-2</v>
      </c>
      <c r="O43" s="190">
        <f>'400'!O43+'404'!O43+'411'!O43+'425'!O43+'426'!O43</f>
        <v>37215.785999999993</v>
      </c>
      <c r="P43" s="49">
        <f t="shared" ref="P43:P75" si="110">O43/O$12</f>
        <v>5.7970849695912714E-2</v>
      </c>
      <c r="Q43" s="190">
        <f>'400'!Q43+'404'!Q43+'411'!Q43+'425'!Q43+'426'!Q43</f>
        <v>36189.192499999997</v>
      </c>
      <c r="R43" s="49">
        <f t="shared" ref="R43:R75" si="111">Q43/Q$12</f>
        <v>4.5397404930125534E-2</v>
      </c>
      <c r="S43" s="190">
        <f>'400'!S43+'404'!S43+'411'!S43+'425'!S43+'426'!S43</f>
        <v>38151.978000000003</v>
      </c>
      <c r="T43" s="49">
        <f t="shared" ref="T43:T75" si="112">S43/S$12</f>
        <v>4.7509032030389142E-2</v>
      </c>
      <c r="U43" s="190">
        <f>'400'!U43+'404'!U43+'411'!U43+'425'!U43+'426'!U43</f>
        <v>35637.152000000002</v>
      </c>
      <c r="V43" s="49">
        <f t="shared" ref="V43:V75" si="113">U43/U$12</f>
        <v>5.5946874825259403E-2</v>
      </c>
      <c r="W43" s="190">
        <f>'400'!W43+'404'!W43+'411'!W43+'425'!W43+'426'!W43</f>
        <v>35522.963499999998</v>
      </c>
      <c r="X43" s="49">
        <f t="shared" ref="X43:X75" si="114">W43/W$12</f>
        <v>5.481161161589538E-2</v>
      </c>
      <c r="Y43" s="190">
        <f>'400'!Y43+'404'!Y43+'411'!Y43+'425'!Y43+'426'!Y43</f>
        <v>35049.313499999997</v>
      </c>
      <c r="Z43" s="49">
        <f t="shared" ref="Z43:Z75" si="115">Y43/Y$12</f>
        <v>3.5799352127223238E-2</v>
      </c>
      <c r="AA43" s="320">
        <f>'400'!AA43+'404'!AA43+'411'!AA43+'425'!AA43+'426'!AA43</f>
        <v>414211.41899999994</v>
      </c>
      <c r="AB43" s="108">
        <f t="shared" ref="AB43:AB75" si="116">AA43/AA$12</f>
        <v>4.5404517305174807E-2</v>
      </c>
      <c r="AC43" s="89">
        <f t="shared" ref="AC43:AC75" si="117">AA43/12</f>
        <v>34517.618249999992</v>
      </c>
      <c r="AD43" s="92">
        <f t="shared" ref="AD43:AD75" si="118">AC43/AC$12</f>
        <v>4.5404517305174814E-2</v>
      </c>
      <c r="AE43" s="144"/>
      <c r="AF43" s="64">
        <f t="shared" si="1"/>
        <v>414211.41899999999</v>
      </c>
      <c r="AG43" s="27" t="e">
        <f>'400'!#REF!+#REF!+#REF!+#REF!+'404'!#REF!+#REF!+#REF!+#REF!+#REF!+#REF!+#REF!</f>
        <v>#REF!</v>
      </c>
      <c r="AH43" s="27" t="e">
        <f t="shared" ref="AH43:AH80" si="119">AA43-AG43</f>
        <v>#REF!</v>
      </c>
      <c r="AI43" s="27">
        <f>'400'!AA43+'404'!AA43+'411'!AA43</f>
        <v>246211.41899999994</v>
      </c>
    </row>
    <row r="44" spans="1:35" customFormat="1">
      <c r="A44" s="2">
        <v>6103</v>
      </c>
      <c r="B44" s="2" t="s">
        <v>4</v>
      </c>
      <c r="C44" s="190">
        <f>'400'!C44+'404'!C44+'411'!C44+'425'!C44+'426'!C44</f>
        <v>10.143000000000001</v>
      </c>
      <c r="D44" s="49">
        <f t="shared" si="104"/>
        <v>1.4782891313757869E-5</v>
      </c>
      <c r="E44" s="190">
        <f>'400'!E44+'404'!E44+'411'!E44+'425'!E44+'426'!E44</f>
        <v>10.143000000000001</v>
      </c>
      <c r="F44" s="49">
        <f t="shared" si="105"/>
        <v>1.9001121724206374E-5</v>
      </c>
      <c r="G44" s="190">
        <f>'400'!G44+'404'!G44+'411'!G44+'425'!G44+'426'!G44</f>
        <v>10.143000000000001</v>
      </c>
      <c r="H44" s="49">
        <f t="shared" si="106"/>
        <v>1.1454875827722393E-5</v>
      </c>
      <c r="I44" s="190">
        <f>'400'!I44+'404'!I44+'411'!I44+'425'!I44+'426'!I44</f>
        <v>10.143000000000001</v>
      </c>
      <c r="J44" s="49">
        <f t="shared" si="107"/>
        <v>1.2972763546183922E-5</v>
      </c>
      <c r="K44" s="190">
        <f>'400'!K44+'404'!K44+'411'!K44+'425'!K44+'426'!K44</f>
        <v>10.143000000000001</v>
      </c>
      <c r="L44" s="49">
        <f t="shared" si="108"/>
        <v>1.4184055335245192E-5</v>
      </c>
      <c r="M44" s="190">
        <f>'400'!M44+'404'!M44+'411'!M44+'425'!M44+'426'!M44</f>
        <v>10.143000000000001</v>
      </c>
      <c r="N44" s="49">
        <f t="shared" si="109"/>
        <v>1.0002957565846208E-5</v>
      </c>
      <c r="O44" s="190">
        <f>'400'!O44+'404'!O44+'411'!O44+'425'!O44+'426'!O44</f>
        <v>10.143000000000001</v>
      </c>
      <c r="P44" s="49">
        <f t="shared" si="110"/>
        <v>1.5799701999190419E-5</v>
      </c>
      <c r="Q44" s="190">
        <f>'400'!Q44+'404'!Q44+'411'!Q44+'425'!Q44+'426'!Q44</f>
        <v>10.143000000000001</v>
      </c>
      <c r="R44" s="49">
        <f t="shared" si="111"/>
        <v>1.2723850586228564E-5</v>
      </c>
      <c r="S44" s="190">
        <f>'400'!S44+'404'!S44+'411'!S44+'425'!S44+'426'!S44</f>
        <v>10.143000000000001</v>
      </c>
      <c r="T44" s="49">
        <f t="shared" si="112"/>
        <v>1.2630645569260841E-5</v>
      </c>
      <c r="U44" s="190">
        <f>'400'!U44+'404'!U44+'411'!U44+'425'!U44+'426'!U44</f>
        <v>10.143000000000001</v>
      </c>
      <c r="V44" s="49">
        <f t="shared" si="113"/>
        <v>1.5923526979726275E-5</v>
      </c>
      <c r="W44" s="190">
        <f>'400'!W44+'404'!W44+'411'!W44+'425'!W44+'426'!W44</f>
        <v>10.143000000000001</v>
      </c>
      <c r="X44" s="49">
        <f t="shared" si="114"/>
        <v>1.5650557325264455E-5</v>
      </c>
      <c r="Y44" s="190">
        <f>'400'!Y44+'404'!Y44+'411'!Y44+'425'!Y44+'426'!Y44</f>
        <v>10.143000000000001</v>
      </c>
      <c r="Z44" s="49">
        <f t="shared" si="115"/>
        <v>1.0360055372451884E-5</v>
      </c>
      <c r="AA44" s="320">
        <f>'400'!AA44+'404'!AA44+'411'!AA44+'425'!AA44+'426'!AA44</f>
        <v>121.71600000000001</v>
      </c>
      <c r="AB44" s="108">
        <f t="shared" si="116"/>
        <v>1.3342114617841228E-5</v>
      </c>
      <c r="AC44" s="89">
        <f t="shared" si="117"/>
        <v>10.143000000000001</v>
      </c>
      <c r="AD44" s="92">
        <f t="shared" si="118"/>
        <v>1.3342114617841231E-5</v>
      </c>
      <c r="AE44" s="287"/>
      <c r="AF44" s="64">
        <f t="shared" si="1"/>
        <v>121.71600000000001</v>
      </c>
      <c r="AG44" s="27" t="e">
        <f>'400'!#REF!+#REF!+#REF!+#REF!+'404'!#REF!+#REF!+#REF!+#REF!+#REF!+#REF!+#REF!</f>
        <v>#REF!</v>
      </c>
      <c r="AH44" s="27" t="e">
        <f t="shared" si="119"/>
        <v>#REF!</v>
      </c>
      <c r="AI44" s="27">
        <f>'400'!AA44+'404'!AA44+'411'!AA44</f>
        <v>121.71600000000001</v>
      </c>
    </row>
    <row r="45" spans="1:35" customFormat="1">
      <c r="A45" s="2">
        <v>6104</v>
      </c>
      <c r="B45" s="2" t="s">
        <v>5</v>
      </c>
      <c r="C45" s="190">
        <f>'400'!C45+'404'!C45+'411'!C45+'425'!C45+'426'!C45</f>
        <v>1400</v>
      </c>
      <c r="D45" s="49">
        <f t="shared" si="104"/>
        <v>2.0404266823682358E-3</v>
      </c>
      <c r="E45" s="190">
        <f>'400'!E45+'404'!E45+'411'!E45+'425'!E45+'426'!E45</f>
        <v>1400</v>
      </c>
      <c r="F45" s="49">
        <f t="shared" si="105"/>
        <v>2.622653102029865E-3</v>
      </c>
      <c r="G45" s="190">
        <f>'400'!G45+'404'!G45+'411'!G45+'425'!G45+'426'!G45</f>
        <v>1400</v>
      </c>
      <c r="H45" s="49">
        <f t="shared" si="106"/>
        <v>1.5810732681466378E-3</v>
      </c>
      <c r="I45" s="190">
        <f>'400'!I45+'404'!I45+'411'!I45+'425'!I45+'426'!I45</f>
        <v>1400</v>
      </c>
      <c r="J45" s="49">
        <f t="shared" si="107"/>
        <v>1.790581579873557E-3</v>
      </c>
      <c r="K45" s="190">
        <f>'400'!K45+'404'!K45+'411'!K45+'425'!K45+'426'!K45</f>
        <v>1400</v>
      </c>
      <c r="L45" s="49">
        <f t="shared" si="108"/>
        <v>1.9577716128702815E-3</v>
      </c>
      <c r="M45" s="190">
        <f>'400'!M45+'404'!M45+'411'!M45+'425'!M45+'426'!M45</f>
        <v>1400</v>
      </c>
      <c r="N45" s="49">
        <f t="shared" si="109"/>
        <v>1.3806704714763572E-3</v>
      </c>
      <c r="O45" s="190">
        <f>'400'!O45+'404'!O45+'411'!O45+'425'!O45+'426'!O45</f>
        <v>1400</v>
      </c>
      <c r="P45" s="49">
        <f t="shared" si="110"/>
        <v>2.18077322280061E-3</v>
      </c>
      <c r="Q45" s="190">
        <f>'400'!Q45+'404'!Q45+'411'!Q45+'425'!Q45+'426'!Q45</f>
        <v>1400</v>
      </c>
      <c r="R45" s="49">
        <f t="shared" si="111"/>
        <v>1.7562250636616373E-3</v>
      </c>
      <c r="S45" s="190">
        <f>'400'!S45+'404'!S45+'411'!S45+'425'!S45+'426'!S45</f>
        <v>1400</v>
      </c>
      <c r="T45" s="49">
        <f t="shared" si="112"/>
        <v>1.7433603270201297E-3</v>
      </c>
      <c r="U45" s="190">
        <f>'400'!U45+'404'!U45+'411'!U45+'425'!U45+'426'!U45</f>
        <v>1400</v>
      </c>
      <c r="V45" s="49">
        <f t="shared" si="113"/>
        <v>2.1978643174225361E-3</v>
      </c>
      <c r="W45" s="190">
        <f>'400'!W45+'404'!W45+'411'!W45+'425'!W45+'426'!W45</f>
        <v>1400</v>
      </c>
      <c r="X45" s="49">
        <f t="shared" si="114"/>
        <v>2.1601873464823264E-3</v>
      </c>
      <c r="Y45" s="190">
        <f>'400'!Y45+'404'!Y45+'411'!Y45+'425'!Y45+'426'!Y45</f>
        <v>1400</v>
      </c>
      <c r="Z45" s="49">
        <f t="shared" si="115"/>
        <v>1.4299593336717577E-3</v>
      </c>
      <c r="AA45" s="320">
        <f>'400'!AA45+'404'!AA45+'411'!AA45+'425'!AA45+'426'!AA45</f>
        <v>16800</v>
      </c>
      <c r="AB45" s="108">
        <f t="shared" si="116"/>
        <v>1.8415617139877472E-3</v>
      </c>
      <c r="AC45" s="89">
        <f t="shared" si="117"/>
        <v>1400</v>
      </c>
      <c r="AD45" s="92">
        <f t="shared" si="118"/>
        <v>1.8415617139877474E-3</v>
      </c>
      <c r="AE45" s="144"/>
      <c r="AF45" s="64">
        <f t="shared" si="1"/>
        <v>16800</v>
      </c>
      <c r="AG45" s="27" t="e">
        <f>'400'!#REF!+#REF!+#REF!+#REF!+'404'!#REF!+#REF!+#REF!+#REF!+#REF!+#REF!+#REF!</f>
        <v>#REF!</v>
      </c>
      <c r="AH45" s="27" t="e">
        <f t="shared" si="119"/>
        <v>#REF!</v>
      </c>
      <c r="AI45" s="27">
        <f>'400'!AA45+'404'!AA45+'411'!AA45</f>
        <v>9600</v>
      </c>
    </row>
    <row r="46" spans="1:35" customFormat="1">
      <c r="A46" s="2">
        <v>6105</v>
      </c>
      <c r="B46" s="2" t="s">
        <v>39</v>
      </c>
      <c r="C46" s="190">
        <f>'400'!C46+'404'!C46+'411'!C46+'425'!C46+'426'!C46</f>
        <v>3050</v>
      </c>
      <c r="D46" s="49">
        <f t="shared" si="104"/>
        <v>4.4452152723022283E-3</v>
      </c>
      <c r="E46" s="190">
        <f>'400'!E46+'404'!E46+'411'!E46+'425'!E46+'426'!E46</f>
        <v>3050</v>
      </c>
      <c r="F46" s="49">
        <f t="shared" si="105"/>
        <v>5.7136371151364912E-3</v>
      </c>
      <c r="G46" s="190">
        <f>'400'!G46+'404'!G46+'411'!G46+'425'!G46+'426'!G46</f>
        <v>3050</v>
      </c>
      <c r="H46" s="49">
        <f t="shared" si="106"/>
        <v>3.4444810484623185E-3</v>
      </c>
      <c r="I46" s="190">
        <f>'400'!I46+'404'!I46+'411'!I46+'425'!I46+'426'!I46</f>
        <v>3050</v>
      </c>
      <c r="J46" s="49">
        <f t="shared" si="107"/>
        <v>3.9009098704388206E-3</v>
      </c>
      <c r="K46" s="190">
        <f>'400'!K46+'404'!K46+'411'!K46+'425'!K46+'426'!K46</f>
        <v>3050</v>
      </c>
      <c r="L46" s="49">
        <f t="shared" si="108"/>
        <v>4.2651452994673994E-3</v>
      </c>
      <c r="M46" s="190">
        <f>'400'!M46+'404'!M46+'411'!M46+'425'!M46+'426'!M46</f>
        <v>3050</v>
      </c>
      <c r="N46" s="49">
        <f t="shared" si="109"/>
        <v>3.0078892414306352E-3</v>
      </c>
      <c r="O46" s="190">
        <f>'400'!O46+'404'!O46+'411'!O46+'425'!O46+'426'!O46</f>
        <v>3050</v>
      </c>
      <c r="P46" s="49">
        <f t="shared" si="110"/>
        <v>4.7509702353870434E-3</v>
      </c>
      <c r="Q46" s="190">
        <f>'400'!Q46+'404'!Q46+'411'!Q46+'425'!Q46+'426'!Q46</f>
        <v>3050</v>
      </c>
      <c r="R46" s="49">
        <f t="shared" si="111"/>
        <v>3.8260617458342814E-3</v>
      </c>
      <c r="S46" s="190">
        <f>'400'!S46+'404'!S46+'411'!S46+'425'!S46+'426'!S46</f>
        <v>3050</v>
      </c>
      <c r="T46" s="49">
        <f t="shared" si="112"/>
        <v>3.7980349981509972E-3</v>
      </c>
      <c r="U46" s="190">
        <f>'400'!U46+'404'!U46+'411'!U46+'425'!U46+'426'!U46</f>
        <v>3050</v>
      </c>
      <c r="V46" s="49">
        <f t="shared" si="113"/>
        <v>4.7882044058133819E-3</v>
      </c>
      <c r="W46" s="190">
        <f>'400'!W46+'404'!W46+'411'!W46+'425'!W46+'426'!W46</f>
        <v>3050</v>
      </c>
      <c r="X46" s="49">
        <f t="shared" si="114"/>
        <v>4.7061224334079251E-3</v>
      </c>
      <c r="Y46" s="190">
        <f>'400'!Y46+'404'!Y46+'411'!Y46+'425'!Y46+'426'!Y46</f>
        <v>3050</v>
      </c>
      <c r="Z46" s="49">
        <f t="shared" si="115"/>
        <v>3.1152685483563291E-3</v>
      </c>
      <c r="AA46" s="320">
        <f>'400'!AA46+'404'!AA46+'411'!AA46+'425'!AA46+'426'!AA46</f>
        <v>36600</v>
      </c>
      <c r="AB46" s="108">
        <f t="shared" si="116"/>
        <v>4.011973734044735E-3</v>
      </c>
      <c r="AC46" s="89">
        <f t="shared" si="117"/>
        <v>3050</v>
      </c>
      <c r="AD46" s="92">
        <f t="shared" si="118"/>
        <v>4.0119737340447359E-3</v>
      </c>
      <c r="AE46" s="144"/>
      <c r="AF46" s="64">
        <f t="shared" si="1"/>
        <v>36600</v>
      </c>
      <c r="AG46" s="27" t="e">
        <f>'400'!#REF!+#REF!+#REF!+#REF!+'404'!#REF!+#REF!+#REF!+#REF!+#REF!+#REF!+#REF!</f>
        <v>#REF!</v>
      </c>
      <c r="AH46" s="27" t="e">
        <f t="shared" si="119"/>
        <v>#REF!</v>
      </c>
      <c r="AI46" s="27">
        <f>'400'!AA46+'404'!AA46+'411'!AA46</f>
        <v>18600</v>
      </c>
    </row>
    <row r="47" spans="1:35" customFormat="1">
      <c r="A47" s="2">
        <v>6106</v>
      </c>
      <c r="B47" s="2" t="s">
        <v>6</v>
      </c>
      <c r="C47" s="190">
        <f>'400'!C47+'404'!C47+'411'!C47+'425'!C47+'426'!C47</f>
        <v>200</v>
      </c>
      <c r="D47" s="49">
        <f t="shared" si="104"/>
        <v>2.914895260526051E-4</v>
      </c>
      <c r="E47" s="190">
        <f>'400'!E47+'404'!E47+'411'!E47+'425'!E47+'426'!E47</f>
        <v>200</v>
      </c>
      <c r="F47" s="49">
        <f t="shared" si="105"/>
        <v>3.7466472886140925E-4</v>
      </c>
      <c r="G47" s="190">
        <f>'400'!G47+'404'!G47+'411'!G47+'425'!G47+'426'!G47</f>
        <v>200</v>
      </c>
      <c r="H47" s="49">
        <f t="shared" si="106"/>
        <v>2.2586760973523399E-4</v>
      </c>
      <c r="I47" s="190">
        <f>'400'!I47+'404'!I47+'411'!I47+'425'!I47+'426'!I47</f>
        <v>200</v>
      </c>
      <c r="J47" s="49">
        <f t="shared" si="107"/>
        <v>2.5579736855336528E-4</v>
      </c>
      <c r="K47" s="190">
        <f>'400'!K47+'404'!K47+'411'!K47+'425'!K47+'426'!K47</f>
        <v>200</v>
      </c>
      <c r="L47" s="49">
        <f t="shared" si="108"/>
        <v>2.7968165898146883E-4</v>
      </c>
      <c r="M47" s="190">
        <f>'400'!M47+'404'!M47+'411'!M47+'425'!M47+'426'!M47</f>
        <v>200</v>
      </c>
      <c r="N47" s="49">
        <f t="shared" si="109"/>
        <v>1.9723863878233673E-4</v>
      </c>
      <c r="O47" s="190">
        <f>'400'!O47+'404'!O47+'411'!O47+'425'!O47+'426'!O47</f>
        <v>200</v>
      </c>
      <c r="P47" s="49">
        <f t="shared" si="110"/>
        <v>3.1153903182865858E-4</v>
      </c>
      <c r="Q47" s="190">
        <f>'400'!Q47+'404'!Q47+'411'!Q47+'425'!Q47+'426'!Q47</f>
        <v>200</v>
      </c>
      <c r="R47" s="49">
        <f t="shared" si="111"/>
        <v>2.5088929480880537E-4</v>
      </c>
      <c r="S47" s="190">
        <f>'400'!S47+'404'!S47+'411'!S47+'425'!S47+'426'!S47</f>
        <v>200</v>
      </c>
      <c r="T47" s="49">
        <f t="shared" si="112"/>
        <v>2.4905147528858998E-4</v>
      </c>
      <c r="U47" s="190">
        <f>'400'!U47+'404'!U47+'411'!U47+'425'!U47+'426'!U47</f>
        <v>200</v>
      </c>
      <c r="V47" s="49">
        <f t="shared" si="113"/>
        <v>3.1398061677464801E-4</v>
      </c>
      <c r="W47" s="190">
        <f>'400'!W47+'404'!W47+'411'!W47+'425'!W47+'426'!W47</f>
        <v>200</v>
      </c>
      <c r="X47" s="49">
        <f t="shared" si="114"/>
        <v>3.0859819235461806E-4</v>
      </c>
      <c r="Y47" s="190">
        <f>'400'!Y47+'404'!Y47+'411'!Y47+'425'!Y47+'426'!Y47</f>
        <v>200</v>
      </c>
      <c r="Z47" s="49">
        <f t="shared" si="115"/>
        <v>2.0427990481025108E-4</v>
      </c>
      <c r="AA47" s="320">
        <f>'400'!AA47+'404'!AA47+'411'!AA47+'425'!AA47+'426'!AA47</f>
        <v>2400</v>
      </c>
      <c r="AB47" s="108">
        <f t="shared" si="116"/>
        <v>2.6308024485539243E-4</v>
      </c>
      <c r="AC47" s="89">
        <f t="shared" si="117"/>
        <v>200</v>
      </c>
      <c r="AD47" s="92">
        <f t="shared" si="118"/>
        <v>2.6308024485539248E-4</v>
      </c>
      <c r="AE47" s="144"/>
      <c r="AF47" s="64">
        <f t="shared" si="1"/>
        <v>2400</v>
      </c>
      <c r="AG47" s="27" t="e">
        <f>'400'!#REF!+#REF!+#REF!+#REF!+'404'!#REF!+#REF!+#REF!+#REF!+#REF!+#REF!+#REF!</f>
        <v>#REF!</v>
      </c>
      <c r="AH47" s="27" t="e">
        <f t="shared" si="119"/>
        <v>#REF!</v>
      </c>
      <c r="AI47" s="27">
        <f>'400'!AA47+'404'!AA47+'411'!AA47</f>
        <v>2400</v>
      </c>
    </row>
    <row r="48" spans="1:35" customFormat="1">
      <c r="A48" s="2">
        <v>6107</v>
      </c>
      <c r="B48" s="2" t="s">
        <v>7</v>
      </c>
      <c r="C48" s="190">
        <f>'400'!C48+'404'!C48+'411'!C48+'425'!C48+'426'!C48</f>
        <v>200</v>
      </c>
      <c r="D48" s="49">
        <f t="shared" si="104"/>
        <v>2.914895260526051E-4</v>
      </c>
      <c r="E48" s="190">
        <f>'400'!E48+'404'!E48+'411'!E48+'425'!E48+'426'!E48</f>
        <v>200</v>
      </c>
      <c r="F48" s="49">
        <f t="shared" si="105"/>
        <v>3.7466472886140925E-4</v>
      </c>
      <c r="G48" s="190">
        <f>'400'!G48+'404'!G48+'411'!G48+'425'!G48+'426'!G48</f>
        <v>200</v>
      </c>
      <c r="H48" s="49">
        <f t="shared" si="106"/>
        <v>2.2586760973523399E-4</v>
      </c>
      <c r="I48" s="190">
        <f>'400'!I48+'404'!I48+'411'!I48+'425'!I48+'426'!I48</f>
        <v>200</v>
      </c>
      <c r="J48" s="49">
        <f t="shared" si="107"/>
        <v>2.5579736855336528E-4</v>
      </c>
      <c r="K48" s="190">
        <f>'400'!K48+'404'!K48+'411'!K48+'425'!K48+'426'!K48</f>
        <v>200</v>
      </c>
      <c r="L48" s="49">
        <f t="shared" si="108"/>
        <v>2.7968165898146883E-4</v>
      </c>
      <c r="M48" s="190">
        <f>'400'!M48+'404'!M48+'411'!M48+'425'!M48+'426'!M48</f>
        <v>200</v>
      </c>
      <c r="N48" s="49">
        <f t="shared" si="109"/>
        <v>1.9723863878233673E-4</v>
      </c>
      <c r="O48" s="190">
        <f>'400'!O48+'404'!O48+'411'!O48+'425'!O48+'426'!O48</f>
        <v>200</v>
      </c>
      <c r="P48" s="49">
        <f t="shared" si="110"/>
        <v>3.1153903182865858E-4</v>
      </c>
      <c r="Q48" s="190">
        <f>'400'!Q48+'404'!Q48+'411'!Q48+'425'!Q48+'426'!Q48</f>
        <v>200</v>
      </c>
      <c r="R48" s="49">
        <f t="shared" si="111"/>
        <v>2.5088929480880537E-4</v>
      </c>
      <c r="S48" s="190">
        <f>'400'!S48+'404'!S48+'411'!S48+'425'!S48+'426'!S48</f>
        <v>200</v>
      </c>
      <c r="T48" s="49">
        <f t="shared" si="112"/>
        <v>2.4905147528858998E-4</v>
      </c>
      <c r="U48" s="190">
        <f>'400'!U48+'404'!U48+'411'!U48+'425'!U48+'426'!U48</f>
        <v>200</v>
      </c>
      <c r="V48" s="49">
        <f t="shared" si="113"/>
        <v>3.1398061677464801E-4</v>
      </c>
      <c r="W48" s="190">
        <f>'400'!W48+'404'!W48+'411'!W48+'425'!W48+'426'!W48</f>
        <v>200</v>
      </c>
      <c r="X48" s="49">
        <f t="shared" si="114"/>
        <v>3.0859819235461806E-4</v>
      </c>
      <c r="Y48" s="190">
        <f>'400'!Y48+'404'!Y48+'411'!Y48+'425'!Y48+'426'!Y48</f>
        <v>200</v>
      </c>
      <c r="Z48" s="49">
        <f t="shared" si="115"/>
        <v>2.0427990481025108E-4</v>
      </c>
      <c r="AA48" s="320">
        <f>'400'!AA48+'404'!AA48+'411'!AA48+'425'!AA48+'426'!AA48</f>
        <v>2400</v>
      </c>
      <c r="AB48" s="108">
        <f t="shared" si="116"/>
        <v>2.6308024485539243E-4</v>
      </c>
      <c r="AC48" s="89">
        <f t="shared" si="117"/>
        <v>200</v>
      </c>
      <c r="AD48" s="92">
        <f t="shared" si="118"/>
        <v>2.6308024485539248E-4</v>
      </c>
      <c r="AE48" s="144"/>
      <c r="AF48" s="64">
        <f t="shared" si="1"/>
        <v>2400</v>
      </c>
      <c r="AG48" s="27" t="e">
        <f>'400'!#REF!+#REF!+#REF!+#REF!+'404'!#REF!+#REF!+#REF!+#REF!+#REF!+#REF!+#REF!</f>
        <v>#REF!</v>
      </c>
      <c r="AH48" s="27" t="e">
        <f t="shared" si="119"/>
        <v>#REF!</v>
      </c>
      <c r="AI48" s="27">
        <f>'400'!AA48+'404'!AA48+'411'!AA48</f>
        <v>2400</v>
      </c>
    </row>
    <row r="49" spans="1:35" customFormat="1">
      <c r="A49" s="2">
        <v>6108</v>
      </c>
      <c r="B49" s="2" t="s">
        <v>8</v>
      </c>
      <c r="C49" s="190">
        <f>'400'!C49+'404'!C49+'411'!C49+'425'!C49+'426'!C49</f>
        <v>0</v>
      </c>
      <c r="D49" s="49">
        <f t="shared" si="104"/>
        <v>0</v>
      </c>
      <c r="E49" s="190">
        <f>'400'!E49+'404'!E49+'411'!E49+'425'!E49+'426'!E49</f>
        <v>0</v>
      </c>
      <c r="F49" s="49">
        <f t="shared" si="105"/>
        <v>0</v>
      </c>
      <c r="G49" s="190">
        <f>'400'!G49+'404'!G49+'411'!G49+'425'!G49+'426'!G49</f>
        <v>0</v>
      </c>
      <c r="H49" s="49">
        <f t="shared" si="106"/>
        <v>0</v>
      </c>
      <c r="I49" s="190">
        <f>'400'!I49+'404'!I49+'411'!I49+'425'!I49+'426'!I49</f>
        <v>0</v>
      </c>
      <c r="J49" s="49">
        <f t="shared" si="107"/>
        <v>0</v>
      </c>
      <c r="K49" s="190">
        <f>'400'!K49+'404'!K49+'411'!K49+'425'!K49+'426'!K49</f>
        <v>0</v>
      </c>
      <c r="L49" s="49">
        <f t="shared" si="108"/>
        <v>0</v>
      </c>
      <c r="M49" s="190">
        <f>'400'!M49+'404'!M49+'411'!M49+'425'!M49+'426'!M49</f>
        <v>0</v>
      </c>
      <c r="N49" s="49">
        <f t="shared" si="109"/>
        <v>0</v>
      </c>
      <c r="O49" s="190">
        <f>'400'!O49+'404'!O49+'411'!O49+'425'!O49+'426'!O49</f>
        <v>0</v>
      </c>
      <c r="P49" s="49">
        <f t="shared" si="110"/>
        <v>0</v>
      </c>
      <c r="Q49" s="190">
        <f>'400'!Q49+'404'!Q49+'411'!Q49+'425'!Q49+'426'!Q49</f>
        <v>0</v>
      </c>
      <c r="R49" s="49">
        <f t="shared" si="111"/>
        <v>0</v>
      </c>
      <c r="S49" s="190">
        <f>'400'!S49+'404'!S49+'411'!S49+'425'!S49+'426'!S49</f>
        <v>0</v>
      </c>
      <c r="T49" s="49">
        <f t="shared" si="112"/>
        <v>0</v>
      </c>
      <c r="U49" s="190">
        <f>'400'!U49+'404'!U49+'411'!U49+'425'!U49+'426'!U49</f>
        <v>0</v>
      </c>
      <c r="V49" s="49">
        <f t="shared" si="113"/>
        <v>0</v>
      </c>
      <c r="W49" s="190">
        <f>'400'!W49+'404'!W49+'411'!W49+'425'!W49+'426'!W49</f>
        <v>0</v>
      </c>
      <c r="X49" s="49">
        <f t="shared" si="114"/>
        <v>0</v>
      </c>
      <c r="Y49" s="190">
        <f>'400'!Y49+'404'!Y49+'411'!Y49+'425'!Y49+'426'!Y49</f>
        <v>0</v>
      </c>
      <c r="Z49" s="49">
        <f t="shared" si="115"/>
        <v>0</v>
      </c>
      <c r="AA49" s="320">
        <f>'400'!AA49+'404'!AA49+'411'!AA49+'425'!AA49+'426'!AA49</f>
        <v>0</v>
      </c>
      <c r="AB49" s="108">
        <f t="shared" si="116"/>
        <v>0</v>
      </c>
      <c r="AC49" s="89">
        <f t="shared" si="117"/>
        <v>0</v>
      </c>
      <c r="AD49" s="92">
        <f t="shared" si="118"/>
        <v>0</v>
      </c>
      <c r="AE49" s="144"/>
      <c r="AF49" s="64">
        <f t="shared" si="1"/>
        <v>0</v>
      </c>
      <c r="AG49" s="27" t="e">
        <f>'400'!#REF!+#REF!+#REF!+#REF!+'404'!#REF!+#REF!+#REF!+#REF!+#REF!+#REF!+#REF!</f>
        <v>#REF!</v>
      </c>
      <c r="AH49" s="27" t="e">
        <f t="shared" si="119"/>
        <v>#REF!</v>
      </c>
      <c r="AI49" s="27">
        <f>'400'!AA49+'404'!AA49+'411'!AA49</f>
        <v>0</v>
      </c>
    </row>
    <row r="50" spans="1:35" customFormat="1">
      <c r="A50" s="128">
        <v>6109</v>
      </c>
      <c r="B50" s="2" t="s">
        <v>79</v>
      </c>
      <c r="C50" s="190">
        <f>'400'!C50+'404'!C50+'411'!C50+'425'!C50+'426'!C50</f>
        <v>50</v>
      </c>
      <c r="D50" s="49">
        <f t="shared" si="104"/>
        <v>7.2872381513151274E-5</v>
      </c>
      <c r="E50" s="190">
        <f>'400'!E50+'404'!E50+'411'!E50+'425'!E50+'426'!E50</f>
        <v>50</v>
      </c>
      <c r="F50" s="49">
        <f t="shared" si="105"/>
        <v>9.3666182215352311E-5</v>
      </c>
      <c r="G50" s="190">
        <f>'400'!G50+'404'!G50+'411'!G50+'425'!G50+'426'!G50</f>
        <v>50</v>
      </c>
      <c r="H50" s="49">
        <f t="shared" si="106"/>
        <v>5.6466902433808498E-5</v>
      </c>
      <c r="I50" s="190">
        <f>'400'!I50+'404'!I50+'411'!I50+'425'!I50+'426'!I50</f>
        <v>50</v>
      </c>
      <c r="J50" s="49">
        <f t="shared" si="107"/>
        <v>6.394934213834132E-5</v>
      </c>
      <c r="K50" s="190">
        <f>'400'!K50+'404'!K50+'411'!K50+'425'!K50+'426'!K50</f>
        <v>50</v>
      </c>
      <c r="L50" s="49">
        <f t="shared" si="108"/>
        <v>6.9920414745367208E-5</v>
      </c>
      <c r="M50" s="190">
        <f>'400'!M50+'404'!M50+'411'!M50+'425'!M50+'426'!M50</f>
        <v>50</v>
      </c>
      <c r="N50" s="49">
        <f t="shared" si="109"/>
        <v>4.9309659695584182E-5</v>
      </c>
      <c r="O50" s="190">
        <f>'400'!O50+'404'!O50+'411'!O50+'425'!O50+'426'!O50</f>
        <v>50</v>
      </c>
      <c r="P50" s="49">
        <f t="shared" si="110"/>
        <v>7.7884757957164645E-5</v>
      </c>
      <c r="Q50" s="190">
        <f>'400'!Q50+'404'!Q50+'411'!Q50+'425'!Q50+'426'!Q50</f>
        <v>50</v>
      </c>
      <c r="R50" s="49">
        <f t="shared" si="111"/>
        <v>6.2722323702201342E-5</v>
      </c>
      <c r="S50" s="190">
        <f>'400'!S50+'404'!S50+'411'!S50+'425'!S50+'426'!S50</f>
        <v>50</v>
      </c>
      <c r="T50" s="49">
        <f t="shared" si="112"/>
        <v>6.2262868822147494E-5</v>
      </c>
      <c r="U50" s="190">
        <f>'400'!U50+'404'!U50+'411'!U50+'425'!U50+'426'!U50</f>
        <v>50</v>
      </c>
      <c r="V50" s="49">
        <f t="shared" si="113"/>
        <v>7.8495154193662002E-5</v>
      </c>
      <c r="W50" s="190">
        <f>'400'!W50+'404'!W50+'411'!W50+'425'!W50+'426'!W50</f>
        <v>50</v>
      </c>
      <c r="X50" s="49">
        <f t="shared" si="114"/>
        <v>7.7149548088654516E-5</v>
      </c>
      <c r="Y50" s="190">
        <f>'400'!Y50+'404'!Y50+'411'!Y50+'425'!Y50+'426'!Y50</f>
        <v>50</v>
      </c>
      <c r="Z50" s="49">
        <f t="shared" si="115"/>
        <v>5.1069976202562771E-5</v>
      </c>
      <c r="AA50" s="320">
        <f>'400'!AA50+'404'!AA50+'411'!AA50+'425'!AA50+'426'!AA50</f>
        <v>600</v>
      </c>
      <c r="AB50" s="108">
        <f t="shared" si="116"/>
        <v>6.5770061213848107E-5</v>
      </c>
      <c r="AC50" s="89">
        <f t="shared" si="117"/>
        <v>50</v>
      </c>
      <c r="AD50" s="92">
        <f t="shared" si="118"/>
        <v>6.577006121384812E-5</v>
      </c>
      <c r="AE50" s="144"/>
      <c r="AF50" s="64">
        <f t="shared" si="1"/>
        <v>600</v>
      </c>
      <c r="AG50" s="27" t="e">
        <f>'400'!#REF!+#REF!+#REF!+#REF!+'404'!#REF!+#REF!+#REF!+#REF!+#REF!+#REF!+#REF!</f>
        <v>#REF!</v>
      </c>
      <c r="AH50" s="27" t="e">
        <f t="shared" si="119"/>
        <v>#REF!</v>
      </c>
      <c r="AI50" s="27">
        <f>'400'!AA50+'404'!AA50+'411'!AA50</f>
        <v>600</v>
      </c>
    </row>
    <row r="51" spans="1:35" customFormat="1">
      <c r="A51" s="2">
        <v>6110</v>
      </c>
      <c r="B51" s="2" t="s">
        <v>9</v>
      </c>
      <c r="C51" s="190">
        <f>'400'!C51+'404'!C51+'411'!C51+'425'!C51+'426'!C51</f>
        <v>300</v>
      </c>
      <c r="D51" s="49">
        <f t="shared" si="104"/>
        <v>4.3723428907890767E-4</v>
      </c>
      <c r="E51" s="190">
        <f>'400'!E51+'404'!E51+'411'!E51+'425'!E51+'426'!E51</f>
        <v>300</v>
      </c>
      <c r="F51" s="49">
        <f t="shared" si="105"/>
        <v>5.619970932921139E-4</v>
      </c>
      <c r="G51" s="190">
        <f>'400'!G51+'404'!G51+'411'!G51+'425'!G51+'426'!G51</f>
        <v>300</v>
      </c>
      <c r="H51" s="49">
        <f t="shared" si="106"/>
        <v>3.3880141460285098E-4</v>
      </c>
      <c r="I51" s="190">
        <f>'400'!I51+'404'!I51+'411'!I51+'425'!I51+'426'!I51</f>
        <v>300</v>
      </c>
      <c r="J51" s="49">
        <f t="shared" si="107"/>
        <v>3.8369605283004795E-4</v>
      </c>
      <c r="K51" s="190">
        <f>'400'!K51+'404'!K51+'411'!K51+'425'!K51+'426'!K51</f>
        <v>300</v>
      </c>
      <c r="L51" s="49">
        <f t="shared" si="108"/>
        <v>4.195224884722032E-4</v>
      </c>
      <c r="M51" s="190">
        <f>'400'!M51+'404'!M51+'411'!M51+'425'!M51+'426'!M51</f>
        <v>300</v>
      </c>
      <c r="N51" s="49">
        <f t="shared" si="109"/>
        <v>2.9585795817350507E-4</v>
      </c>
      <c r="O51" s="190">
        <f>'400'!O51+'404'!O51+'411'!O51+'425'!O51+'426'!O51</f>
        <v>300</v>
      </c>
      <c r="P51" s="49">
        <f t="shared" si="110"/>
        <v>4.6730854774298784E-4</v>
      </c>
      <c r="Q51" s="190">
        <f>'400'!Q51+'404'!Q51+'411'!Q51+'425'!Q51+'426'!Q51</f>
        <v>300</v>
      </c>
      <c r="R51" s="49">
        <f t="shared" si="111"/>
        <v>3.7633394221320803E-4</v>
      </c>
      <c r="S51" s="190">
        <f>'400'!S51+'404'!S51+'411'!S51+'425'!S51+'426'!S51</f>
        <v>300</v>
      </c>
      <c r="T51" s="49">
        <f t="shared" si="112"/>
        <v>3.7357721293288497E-4</v>
      </c>
      <c r="U51" s="190">
        <f>'400'!U51+'404'!U51+'411'!U51+'425'!U51+'426'!U51</f>
        <v>300</v>
      </c>
      <c r="V51" s="49">
        <f t="shared" si="113"/>
        <v>4.7097092516197196E-4</v>
      </c>
      <c r="W51" s="190">
        <f>'400'!W51+'404'!W51+'411'!W51+'425'!W51+'426'!W51</f>
        <v>300</v>
      </c>
      <c r="X51" s="49">
        <f t="shared" si="114"/>
        <v>4.6289728853192707E-4</v>
      </c>
      <c r="Y51" s="190">
        <f>'400'!Y51+'404'!Y51+'411'!Y51+'425'!Y51+'426'!Y51</f>
        <v>300</v>
      </c>
      <c r="Z51" s="49">
        <f t="shared" si="115"/>
        <v>3.0641985721537664E-4</v>
      </c>
      <c r="AA51" s="320">
        <f>'400'!AA51+'404'!AA51+'411'!AA51+'425'!AA51+'426'!AA51</f>
        <v>3600</v>
      </c>
      <c r="AB51" s="108">
        <f t="shared" si="116"/>
        <v>3.9462036728308869E-4</v>
      </c>
      <c r="AC51" s="89">
        <f t="shared" si="117"/>
        <v>300</v>
      </c>
      <c r="AD51" s="92">
        <f t="shared" si="118"/>
        <v>3.9462036728308875E-4</v>
      </c>
      <c r="AE51" s="144"/>
      <c r="AF51" s="64">
        <f t="shared" si="1"/>
        <v>3600</v>
      </c>
      <c r="AG51" s="27" t="e">
        <f>'400'!#REF!+#REF!+#REF!+#REF!+'404'!#REF!+#REF!+#REF!+#REF!+#REF!+#REF!+#REF!</f>
        <v>#REF!</v>
      </c>
      <c r="AH51" s="27" t="e">
        <f t="shared" si="119"/>
        <v>#REF!</v>
      </c>
      <c r="AI51" s="27">
        <f>'400'!AA51+'404'!AA51+'411'!AA51</f>
        <v>1800</v>
      </c>
    </row>
    <row r="52" spans="1:35" customFormat="1">
      <c r="A52" s="128">
        <v>6111</v>
      </c>
      <c r="B52" s="2" t="s">
        <v>10</v>
      </c>
      <c r="C52" s="190">
        <f>'400'!C52+'404'!C52+'411'!C52+'425'!C52+'426'!C52</f>
        <v>23520.239999999998</v>
      </c>
      <c r="D52" s="49">
        <f t="shared" si="104"/>
        <v>3.4279518051217622E-2</v>
      </c>
      <c r="E52" s="190">
        <f>'400'!E52+'404'!E52+'411'!E52+'425'!E52+'426'!E52</f>
        <v>23520.239999999998</v>
      </c>
      <c r="F52" s="49">
        <f t="shared" si="105"/>
        <v>4.4061021711776359E-2</v>
      </c>
      <c r="G52" s="190">
        <f>'400'!G52+'404'!G52+'411'!G52+'425'!G52+'426'!G52</f>
        <v>23520.239999999998</v>
      </c>
      <c r="H52" s="49">
        <f t="shared" si="106"/>
        <v>2.6562301945995195E-2</v>
      </c>
      <c r="I52" s="190">
        <f>'400'!I52+'404'!I52+'411'!I52+'425'!I52+'426'!I52</f>
        <v>23520.239999999998</v>
      </c>
      <c r="J52" s="49">
        <f t="shared" si="107"/>
        <v>3.008207749871802E-2</v>
      </c>
      <c r="K52" s="190">
        <f>'400'!K52+'404'!K52+'411'!K52+'425'!K52+'426'!K52</f>
        <v>23520.239999999998</v>
      </c>
      <c r="L52" s="49">
        <f t="shared" si="108"/>
        <v>3.2890898714211504E-2</v>
      </c>
      <c r="M52" s="190">
        <f>'400'!M52+'404'!M52+'411'!M52+'425'!M52+'426'!M52</f>
        <v>23520.239999999998</v>
      </c>
      <c r="N52" s="49">
        <f t="shared" si="109"/>
        <v>2.3195500607169336E-2</v>
      </c>
      <c r="O52" s="190">
        <f>'400'!O52+'404'!O52+'411'!O52+'425'!O52+'426'!O52</f>
        <v>23520.239999999998</v>
      </c>
      <c r="P52" s="49">
        <f t="shared" si="110"/>
        <v>3.6637363989888434E-2</v>
      </c>
      <c r="Q52" s="190">
        <f>'400'!Q52+'404'!Q52+'411'!Q52+'425'!Q52+'426'!Q52</f>
        <v>23520.239999999998</v>
      </c>
      <c r="R52" s="49">
        <f t="shared" si="111"/>
        <v>2.9504882136669276E-2</v>
      </c>
      <c r="S52" s="190">
        <f>'400'!S52+'404'!S52+'411'!S52+'425'!S52+'426'!S52</f>
        <v>23520.239999999998</v>
      </c>
      <c r="T52" s="49">
        <f t="shared" si="112"/>
        <v>2.9288752355708526E-2</v>
      </c>
      <c r="U52" s="190">
        <f>'400'!U52+'404'!U52+'411'!U52+'425'!U52+'426'!U52</f>
        <v>23520.239999999998</v>
      </c>
      <c r="V52" s="49">
        <f t="shared" si="113"/>
        <v>3.6924497309438732E-2</v>
      </c>
      <c r="W52" s="190">
        <f>'400'!W52+'404'!W52+'411'!W52+'425'!W52+'426'!W52</f>
        <v>23520.239999999998</v>
      </c>
      <c r="X52" s="49">
        <f t="shared" si="114"/>
        <v>3.6291517738733903E-2</v>
      </c>
      <c r="Y52" s="190">
        <f>'400'!Y52+'404'!Y52+'411'!Y52+'425'!Y52+'426'!Y52</f>
        <v>23520.239999999998</v>
      </c>
      <c r="Z52" s="49">
        <f t="shared" si="115"/>
        <v>2.4023561941571299E-2</v>
      </c>
      <c r="AA52" s="320">
        <f>'400'!AA52+'404'!AA52+'411'!AA52+'425'!AA52+'426'!AA52</f>
        <v>282242.88</v>
      </c>
      <c r="AB52" s="108">
        <f t="shared" si="116"/>
        <v>3.093855249128798E-2</v>
      </c>
      <c r="AC52" s="89">
        <f t="shared" si="117"/>
        <v>23520.240000000002</v>
      </c>
      <c r="AD52" s="92">
        <f t="shared" si="118"/>
        <v>3.0938552491287987E-2</v>
      </c>
      <c r="AE52" s="144"/>
      <c r="AF52" s="64">
        <f t="shared" si="1"/>
        <v>282242.87999999995</v>
      </c>
      <c r="AG52" s="27" t="e">
        <f>'400'!#REF!+#REF!+#REF!+#REF!+'404'!#REF!+#REF!+#REF!+#REF!+#REF!+#REF!+#REF!</f>
        <v>#REF!</v>
      </c>
      <c r="AH52" s="27" t="e">
        <f t="shared" si="119"/>
        <v>#REF!</v>
      </c>
      <c r="AI52" s="27">
        <f>'400'!AA52+'404'!AA52+'411'!AA52</f>
        <v>282242.88</v>
      </c>
    </row>
    <row r="53" spans="1:35" customFormat="1">
      <c r="A53" s="2">
        <v>6112</v>
      </c>
      <c r="B53" s="2" t="s">
        <v>11</v>
      </c>
      <c r="C53" s="190">
        <f>'400'!C53+'404'!C53+'411'!C53+'425'!C53+'426'!C53</f>
        <v>3900</v>
      </c>
      <c r="D53" s="49">
        <f t="shared" si="104"/>
        <v>5.6840457580257997E-3</v>
      </c>
      <c r="E53" s="190">
        <f>'400'!E53+'404'!E53+'411'!E53+'425'!E53+'426'!E53</f>
        <v>3900</v>
      </c>
      <c r="F53" s="49">
        <f t="shared" si="105"/>
        <v>7.3059622127974811E-3</v>
      </c>
      <c r="G53" s="190">
        <f>'400'!G53+'404'!G53+'411'!G53+'425'!G53+'426'!G53</f>
        <v>3900</v>
      </c>
      <c r="H53" s="49">
        <f t="shared" si="106"/>
        <v>4.404418389837063E-3</v>
      </c>
      <c r="I53" s="190">
        <f>'400'!I53+'404'!I53+'411'!I53+'425'!I53+'426'!I53</f>
        <v>3900</v>
      </c>
      <c r="J53" s="49">
        <f t="shared" si="107"/>
        <v>4.9880486867906228E-3</v>
      </c>
      <c r="K53" s="190">
        <f>'400'!K53+'404'!K53+'411'!K53+'425'!K53+'426'!K53</f>
        <v>3900</v>
      </c>
      <c r="L53" s="49">
        <f t="shared" si="108"/>
        <v>5.4537923501386419E-3</v>
      </c>
      <c r="M53" s="190">
        <f>'400'!M53+'404'!M53+'411'!M53+'425'!M53+'426'!M53</f>
        <v>3900</v>
      </c>
      <c r="N53" s="49">
        <f t="shared" si="109"/>
        <v>3.846153456255566E-3</v>
      </c>
      <c r="O53" s="190">
        <f>'400'!O53+'404'!O53+'411'!O53+'425'!O53+'426'!O53</f>
        <v>3900</v>
      </c>
      <c r="P53" s="49">
        <f t="shared" si="110"/>
        <v>6.0750111206588422E-3</v>
      </c>
      <c r="Q53" s="190">
        <f>'400'!Q53+'404'!Q53+'411'!Q53+'425'!Q53+'426'!Q53</f>
        <v>3900</v>
      </c>
      <c r="R53" s="49">
        <f t="shared" si="111"/>
        <v>4.8923412487717043E-3</v>
      </c>
      <c r="S53" s="190">
        <f>'400'!S53+'404'!S53+'411'!S53+'425'!S53+'426'!S53</f>
        <v>3900</v>
      </c>
      <c r="T53" s="49">
        <f t="shared" si="112"/>
        <v>4.8565037681275042E-3</v>
      </c>
      <c r="U53" s="190">
        <f>'400'!U53+'404'!U53+'411'!U53+'425'!U53+'426'!U53</f>
        <v>3900</v>
      </c>
      <c r="V53" s="49">
        <f t="shared" si="113"/>
        <v>6.1226220271056358E-3</v>
      </c>
      <c r="W53" s="190">
        <f>'400'!W53+'404'!W53+'411'!W53+'425'!W53+'426'!W53</f>
        <v>3900</v>
      </c>
      <c r="X53" s="49">
        <f t="shared" si="114"/>
        <v>6.0176647509150522E-3</v>
      </c>
      <c r="Y53" s="190">
        <f>'400'!Y53+'404'!Y53+'411'!Y53+'425'!Y53+'426'!Y53</f>
        <v>3900</v>
      </c>
      <c r="Z53" s="49">
        <f t="shared" si="115"/>
        <v>3.9834581437998961E-3</v>
      </c>
      <c r="AA53" s="320">
        <f>'400'!AA53+'404'!AA53+'411'!AA53+'425'!AA53+'426'!AA53</f>
        <v>46800</v>
      </c>
      <c r="AB53" s="108">
        <f t="shared" si="116"/>
        <v>5.1300647746801526E-3</v>
      </c>
      <c r="AC53" s="89">
        <f t="shared" si="117"/>
        <v>3900</v>
      </c>
      <c r="AD53" s="92">
        <f t="shared" si="118"/>
        <v>5.1300647746801535E-3</v>
      </c>
      <c r="AE53" s="144"/>
      <c r="AF53" s="64">
        <f t="shared" si="1"/>
        <v>46800</v>
      </c>
      <c r="AG53" s="27" t="e">
        <f>'400'!#REF!+#REF!+#REF!+#REF!+'404'!#REF!+#REF!+#REF!+#REF!+#REF!+#REF!+#REF!</f>
        <v>#REF!</v>
      </c>
      <c r="AH53" s="27" t="e">
        <f t="shared" si="119"/>
        <v>#REF!</v>
      </c>
      <c r="AI53" s="27">
        <f>'400'!AA53+'404'!AA53+'411'!AA53</f>
        <v>22800</v>
      </c>
    </row>
    <row r="54" spans="1:35" customFormat="1">
      <c r="A54" s="2">
        <v>6113</v>
      </c>
      <c r="B54" s="2" t="s">
        <v>12</v>
      </c>
      <c r="C54" s="190">
        <f>'400'!C54+'404'!C54+'411'!C54+'425'!C54+'426'!C54</f>
        <v>0</v>
      </c>
      <c r="D54" s="49">
        <f t="shared" si="104"/>
        <v>0</v>
      </c>
      <c r="E54" s="190">
        <f>'400'!E54+'404'!E54+'411'!E54+'425'!E54+'426'!E54</f>
        <v>0</v>
      </c>
      <c r="F54" s="49">
        <f t="shared" si="105"/>
        <v>0</v>
      </c>
      <c r="G54" s="190">
        <f>'400'!G54+'404'!G54+'411'!G54+'425'!G54+'426'!G54</f>
        <v>0</v>
      </c>
      <c r="H54" s="49">
        <f t="shared" si="106"/>
        <v>0</v>
      </c>
      <c r="I54" s="190">
        <f>'400'!I54+'404'!I54+'411'!I54+'425'!I54+'426'!I54</f>
        <v>0</v>
      </c>
      <c r="J54" s="49">
        <f t="shared" si="107"/>
        <v>0</v>
      </c>
      <c r="K54" s="190">
        <f>'400'!K54+'404'!K54+'411'!K54+'425'!K54+'426'!K54</f>
        <v>0</v>
      </c>
      <c r="L54" s="49">
        <f t="shared" si="108"/>
        <v>0</v>
      </c>
      <c r="M54" s="190">
        <f>'400'!M54+'404'!M54+'411'!M54+'425'!M54+'426'!M54</f>
        <v>0</v>
      </c>
      <c r="N54" s="49">
        <f t="shared" si="109"/>
        <v>0</v>
      </c>
      <c r="O54" s="190">
        <f>'400'!O54+'404'!O54+'411'!O54+'425'!O54+'426'!O54</f>
        <v>0</v>
      </c>
      <c r="P54" s="49">
        <f t="shared" si="110"/>
        <v>0</v>
      </c>
      <c r="Q54" s="190">
        <f>'400'!Q54+'404'!Q54+'411'!Q54+'425'!Q54+'426'!Q54</f>
        <v>0</v>
      </c>
      <c r="R54" s="49">
        <f t="shared" si="111"/>
        <v>0</v>
      </c>
      <c r="S54" s="190">
        <f>'400'!S54+'404'!S54+'411'!S54+'425'!S54+'426'!S54</f>
        <v>0</v>
      </c>
      <c r="T54" s="49">
        <f t="shared" si="112"/>
        <v>0</v>
      </c>
      <c r="U54" s="190">
        <f>'400'!U54+'404'!U54+'411'!U54+'425'!U54+'426'!U54</f>
        <v>0</v>
      </c>
      <c r="V54" s="49">
        <f t="shared" si="113"/>
        <v>0</v>
      </c>
      <c r="W54" s="190">
        <f>'400'!W54+'404'!W54+'411'!W54+'425'!W54+'426'!W54</f>
        <v>0</v>
      </c>
      <c r="X54" s="49">
        <f t="shared" si="114"/>
        <v>0</v>
      </c>
      <c r="Y54" s="190">
        <f>'400'!Y54+'404'!Y54+'411'!Y54+'425'!Y54+'426'!Y54</f>
        <v>0</v>
      </c>
      <c r="Z54" s="49">
        <f t="shared" si="115"/>
        <v>0</v>
      </c>
      <c r="AA54" s="320">
        <f>'400'!AA54+'404'!AA54+'411'!AA54+'425'!AA54+'426'!AA54</f>
        <v>0</v>
      </c>
      <c r="AB54" s="108">
        <f t="shared" si="116"/>
        <v>0</v>
      </c>
      <c r="AC54" s="89">
        <f t="shared" si="117"/>
        <v>0</v>
      </c>
      <c r="AD54" s="92">
        <f t="shared" si="118"/>
        <v>0</v>
      </c>
      <c r="AE54" s="144"/>
      <c r="AF54" s="64">
        <f t="shared" si="1"/>
        <v>0</v>
      </c>
      <c r="AG54" s="27" t="e">
        <f>'400'!#REF!+#REF!+#REF!+#REF!+'404'!#REF!+#REF!+#REF!+#REF!+#REF!+#REF!+#REF!</f>
        <v>#REF!</v>
      </c>
      <c r="AH54" s="27" t="e">
        <f t="shared" si="119"/>
        <v>#REF!</v>
      </c>
      <c r="AI54" s="27">
        <f>'400'!AA54+'404'!AA54+'411'!AA54</f>
        <v>0</v>
      </c>
    </row>
    <row r="55" spans="1:35" customFormat="1">
      <c r="A55" s="128">
        <v>6114</v>
      </c>
      <c r="B55" s="2" t="s">
        <v>88</v>
      </c>
      <c r="C55" s="190">
        <f>'400'!C55+'404'!C55+'411'!C55+'425'!C55+'426'!C55</f>
        <v>1500</v>
      </c>
      <c r="D55" s="49">
        <f t="shared" si="104"/>
        <v>2.1861714453945383E-3</v>
      </c>
      <c r="E55" s="190">
        <f>'400'!E55+'404'!E55+'411'!E55+'425'!E55+'426'!E55</f>
        <v>1500</v>
      </c>
      <c r="F55" s="49">
        <f t="shared" si="105"/>
        <v>2.8099854664605695E-3</v>
      </c>
      <c r="G55" s="190">
        <f>'400'!G55+'404'!G55+'411'!G55+'425'!G55+'426'!G55</f>
        <v>1500</v>
      </c>
      <c r="H55" s="49">
        <f t="shared" si="106"/>
        <v>1.694007073014255E-3</v>
      </c>
      <c r="I55" s="190">
        <f>'400'!I55+'404'!I55+'411'!I55+'425'!I55+'426'!I55</f>
        <v>1500</v>
      </c>
      <c r="J55" s="49">
        <f t="shared" si="107"/>
        <v>1.9184802641502396E-3</v>
      </c>
      <c r="K55" s="190">
        <f>'400'!K55+'404'!K55+'411'!K55+'425'!K55+'426'!K55</f>
        <v>1500</v>
      </c>
      <c r="L55" s="49">
        <f t="shared" si="108"/>
        <v>2.0976124423610159E-3</v>
      </c>
      <c r="M55" s="190">
        <f>'400'!M55+'404'!M55+'411'!M55+'425'!M55+'426'!M55</f>
        <v>1500</v>
      </c>
      <c r="N55" s="49">
        <f t="shared" si="109"/>
        <v>1.4792897908675255E-3</v>
      </c>
      <c r="O55" s="190">
        <f>'400'!O55+'404'!O55+'411'!O55+'425'!O55+'426'!O55</f>
        <v>1500</v>
      </c>
      <c r="P55" s="49">
        <f t="shared" si="110"/>
        <v>2.3365427387149391E-3</v>
      </c>
      <c r="Q55" s="190">
        <f>'400'!Q55+'404'!Q55+'411'!Q55+'425'!Q55+'426'!Q55</f>
        <v>1500</v>
      </c>
      <c r="R55" s="49">
        <f t="shared" si="111"/>
        <v>1.8816697110660401E-3</v>
      </c>
      <c r="S55" s="190">
        <f>'400'!S55+'404'!S55+'411'!S55+'425'!S55+'426'!S55</f>
        <v>1500</v>
      </c>
      <c r="T55" s="49">
        <f t="shared" si="112"/>
        <v>1.8678860646644249E-3</v>
      </c>
      <c r="U55" s="190">
        <f>'400'!U55+'404'!U55+'411'!U55+'425'!U55+'426'!U55</f>
        <v>1500</v>
      </c>
      <c r="V55" s="49">
        <f t="shared" si="113"/>
        <v>2.3548546258098601E-3</v>
      </c>
      <c r="W55" s="190">
        <f>'400'!W55+'404'!W55+'411'!W55+'425'!W55+'426'!W55</f>
        <v>1500</v>
      </c>
      <c r="X55" s="49">
        <f t="shared" si="114"/>
        <v>2.3144864426596352E-3</v>
      </c>
      <c r="Y55" s="190">
        <f>'400'!Y55+'404'!Y55+'411'!Y55+'425'!Y55+'426'!Y55</f>
        <v>1500</v>
      </c>
      <c r="Z55" s="49">
        <f t="shared" si="115"/>
        <v>1.5320992860768832E-3</v>
      </c>
      <c r="AA55" s="320">
        <f>'400'!AA55+'404'!AA55+'411'!AA55+'425'!AA55+'426'!AA55</f>
        <v>18000</v>
      </c>
      <c r="AB55" s="108">
        <f t="shared" si="116"/>
        <v>1.9731018364154435E-3</v>
      </c>
      <c r="AC55" s="89">
        <f t="shared" si="117"/>
        <v>1500</v>
      </c>
      <c r="AD55" s="92">
        <f t="shared" si="118"/>
        <v>1.9731018364154435E-3</v>
      </c>
      <c r="AE55" s="144"/>
      <c r="AF55" s="64">
        <f t="shared" si="1"/>
        <v>18000</v>
      </c>
      <c r="AG55" s="27" t="e">
        <f>'400'!#REF!+#REF!+#REF!+#REF!+'404'!#REF!+#REF!+#REF!+#REF!+#REF!+#REF!+#REF!</f>
        <v>#REF!</v>
      </c>
      <c r="AH55" s="27" t="e">
        <f t="shared" si="119"/>
        <v>#REF!</v>
      </c>
      <c r="AI55" s="27">
        <f>'400'!AA55+'404'!AA55+'411'!AA55</f>
        <v>14400</v>
      </c>
    </row>
    <row r="56" spans="1:35" customFormat="1">
      <c r="A56" s="2">
        <v>6115</v>
      </c>
      <c r="B56" s="2" t="s">
        <v>13</v>
      </c>
      <c r="C56" s="190">
        <f>'400'!C56+'404'!C56+'411'!C56+'425'!C56+'426'!C56</f>
        <v>1375</v>
      </c>
      <c r="D56" s="49">
        <f t="shared" si="104"/>
        <v>2.00399049161166E-3</v>
      </c>
      <c r="E56" s="190">
        <f>'400'!E56+'404'!E56+'411'!E56+'425'!E56+'426'!E56</f>
        <v>1375</v>
      </c>
      <c r="F56" s="49">
        <f t="shared" si="105"/>
        <v>2.5758200109221889E-3</v>
      </c>
      <c r="G56" s="190">
        <f>'400'!G56+'404'!G56+'411'!G56+'425'!G56+'426'!G56</f>
        <v>1375</v>
      </c>
      <c r="H56" s="49">
        <f t="shared" si="106"/>
        <v>1.5528398169297336E-3</v>
      </c>
      <c r="I56" s="190">
        <f>'400'!I56+'404'!I56+'411'!I56+'425'!I56+'426'!I56</f>
        <v>1375</v>
      </c>
      <c r="J56" s="49">
        <f t="shared" si="107"/>
        <v>1.7586069088043864E-3</v>
      </c>
      <c r="K56" s="190">
        <f>'400'!K56+'404'!K56+'411'!K56+'425'!K56+'426'!K56</f>
        <v>1375</v>
      </c>
      <c r="L56" s="49">
        <f t="shared" si="108"/>
        <v>1.9228114054975981E-3</v>
      </c>
      <c r="M56" s="190">
        <f>'400'!M56+'404'!M56+'411'!M56+'425'!M56+'426'!M56</f>
        <v>1375</v>
      </c>
      <c r="N56" s="49">
        <f t="shared" si="109"/>
        <v>1.3560156416285651E-3</v>
      </c>
      <c r="O56" s="190">
        <f>'400'!O56+'404'!O56+'411'!O56+'425'!O56+'426'!O56</f>
        <v>1375</v>
      </c>
      <c r="P56" s="49">
        <f t="shared" si="110"/>
        <v>2.1418308438220274E-3</v>
      </c>
      <c r="Q56" s="190">
        <f>'400'!Q56+'404'!Q56+'411'!Q56+'425'!Q56+'426'!Q56</f>
        <v>1375</v>
      </c>
      <c r="R56" s="49">
        <f t="shared" si="111"/>
        <v>1.7248639018105367E-3</v>
      </c>
      <c r="S56" s="190">
        <f>'400'!S56+'404'!S56+'411'!S56+'425'!S56+'426'!S56</f>
        <v>1375</v>
      </c>
      <c r="T56" s="49">
        <f t="shared" si="112"/>
        <v>1.712228892609056E-3</v>
      </c>
      <c r="U56" s="190">
        <f>'400'!U56+'404'!U56+'411'!U56+'425'!U56+'426'!U56</f>
        <v>1375</v>
      </c>
      <c r="V56" s="49">
        <f t="shared" si="113"/>
        <v>2.1586167403257047E-3</v>
      </c>
      <c r="W56" s="190">
        <f>'400'!W56+'404'!W56+'411'!W56+'425'!W56+'426'!W56</f>
        <v>1375</v>
      </c>
      <c r="X56" s="49">
        <f t="shared" si="114"/>
        <v>2.1216125724379991E-3</v>
      </c>
      <c r="Y56" s="190">
        <f>'400'!Y56+'404'!Y56+'411'!Y56+'425'!Y56+'426'!Y56</f>
        <v>1375</v>
      </c>
      <c r="Z56" s="49">
        <f t="shared" si="115"/>
        <v>1.4044243455704761E-3</v>
      </c>
      <c r="AA56" s="320">
        <f>'400'!AA56+'404'!AA56+'411'!AA56+'425'!AA56+'426'!AA56</f>
        <v>16500</v>
      </c>
      <c r="AB56" s="108">
        <f t="shared" si="116"/>
        <v>1.808676683380823E-3</v>
      </c>
      <c r="AC56" s="89">
        <f t="shared" si="117"/>
        <v>1375</v>
      </c>
      <c r="AD56" s="92">
        <f t="shared" si="118"/>
        <v>1.8086766833808234E-3</v>
      </c>
      <c r="AE56" s="144"/>
      <c r="AF56" s="64">
        <f t="shared" si="1"/>
        <v>16500</v>
      </c>
      <c r="AG56" s="27" t="e">
        <f>'400'!#REF!+#REF!+#REF!+#REF!+'404'!#REF!+#REF!+#REF!+#REF!+#REF!+#REF!+#REF!</f>
        <v>#REF!</v>
      </c>
      <c r="AH56" s="27" t="e">
        <f t="shared" si="119"/>
        <v>#REF!</v>
      </c>
      <c r="AI56" s="27">
        <f>'400'!AA56+'404'!AA56+'411'!AA56</f>
        <v>9300</v>
      </c>
    </row>
    <row r="57" spans="1:35" customFormat="1">
      <c r="A57" s="2">
        <v>6116</v>
      </c>
      <c r="B57" s="2" t="s">
        <v>14</v>
      </c>
      <c r="C57" s="190">
        <f>'400'!C57+'404'!C57+'411'!C57+'425'!C57+'426'!C57</f>
        <v>884.91599999999994</v>
      </c>
      <c r="D57" s="49">
        <f t="shared" si="104"/>
        <v>1.2897187271818354E-3</v>
      </c>
      <c r="E57" s="190">
        <f>'400'!E57+'404'!E57+'411'!E57+'425'!E57+'426'!E57</f>
        <v>884.91599999999994</v>
      </c>
      <c r="F57" s="49">
        <f t="shared" si="105"/>
        <v>1.6577340660256141E-3</v>
      </c>
      <c r="G57" s="190">
        <f>'400'!G57+'404'!G57+'411'!G57+'425'!G57+'426'!G57</f>
        <v>884.91599999999994</v>
      </c>
      <c r="H57" s="49">
        <f t="shared" si="106"/>
        <v>9.9936930868232163E-4</v>
      </c>
      <c r="I57" s="190">
        <f>'400'!I57+'404'!I57+'411'!I57+'425'!I57+'426'!I57</f>
        <v>884.91599999999994</v>
      </c>
      <c r="J57" s="49">
        <f t="shared" si="107"/>
        <v>1.1317959209538489E-3</v>
      </c>
      <c r="K57" s="190">
        <f>'400'!K57+'404'!K57+'411'!K57+'425'!K57+'426'!K57</f>
        <v>884.91599999999994</v>
      </c>
      <c r="L57" s="49">
        <f t="shared" si="108"/>
        <v>1.2374738746962271E-3</v>
      </c>
      <c r="M57" s="190">
        <f>'400'!M57+'404'!M57+'411'!M57+'425'!M57+'426'!M57</f>
        <v>884.91599999999994</v>
      </c>
      <c r="N57" s="49">
        <f t="shared" si="109"/>
        <v>8.7269813638355136E-4</v>
      </c>
      <c r="O57" s="190">
        <f>'400'!O57+'404'!O57+'411'!O57+'425'!O57+'426'!O57</f>
        <v>884.91599999999994</v>
      </c>
      <c r="P57" s="49">
        <f t="shared" si="110"/>
        <v>1.378429369448446E-3</v>
      </c>
      <c r="Q57" s="190">
        <f>'400'!Q57+'404'!Q57+'411'!Q57+'425'!Q57+'426'!Q57</f>
        <v>884.91599999999994</v>
      </c>
      <c r="R57" s="49">
        <f t="shared" si="111"/>
        <v>1.1100797560251439E-3</v>
      </c>
      <c r="S57" s="190">
        <f>'400'!S57+'404'!S57+'411'!S57+'425'!S57+'426'!S57</f>
        <v>884.91599999999994</v>
      </c>
      <c r="T57" s="49">
        <f t="shared" si="112"/>
        <v>1.1019481765323893E-3</v>
      </c>
      <c r="U57" s="190">
        <f>'400'!U57+'404'!U57+'411'!U57+'425'!U57+'426'!U57</f>
        <v>884.91599999999994</v>
      </c>
      <c r="V57" s="49">
        <f t="shared" si="113"/>
        <v>1.389232357368772E-3</v>
      </c>
      <c r="W57" s="190">
        <f>'400'!W57+'404'!W57+'411'!W57+'425'!W57+'426'!W57</f>
        <v>884.91599999999994</v>
      </c>
      <c r="X57" s="49">
        <f t="shared" si="114"/>
        <v>1.3654173899283958E-3</v>
      </c>
      <c r="Y57" s="190">
        <f>'400'!Y57+'404'!Y57+'411'!Y57+'425'!Y57+'426'!Y57</f>
        <v>884.91599999999994</v>
      </c>
      <c r="Z57" s="49">
        <f t="shared" si="115"/>
        <v>9.0385278122534073E-4</v>
      </c>
      <c r="AA57" s="320">
        <f>'400'!AA57+'404'!AA57+'411'!AA57+'425'!AA57+'426'!AA57</f>
        <v>10618.991999999997</v>
      </c>
      <c r="AB57" s="108">
        <f t="shared" si="116"/>
        <v>1.1640195897822719E-3</v>
      </c>
      <c r="AC57" s="89">
        <f t="shared" si="117"/>
        <v>884.91599999999971</v>
      </c>
      <c r="AD57" s="92">
        <f t="shared" si="118"/>
        <v>1.1640195897822721E-3</v>
      </c>
      <c r="AE57" s="144"/>
      <c r="AF57" s="64">
        <f t="shared" si="1"/>
        <v>10618.991999999998</v>
      </c>
      <c r="AG57" s="27" t="e">
        <f>'400'!#REF!+#REF!+#REF!+#REF!+'404'!#REF!+#REF!+#REF!+#REF!+#REF!+#REF!+#REF!</f>
        <v>#REF!</v>
      </c>
      <c r="AH57" s="27" t="e">
        <f t="shared" si="119"/>
        <v>#REF!</v>
      </c>
      <c r="AI57" s="27">
        <f>'400'!AA57+'404'!AA57+'411'!AA57</f>
        <v>5499.503999999999</v>
      </c>
    </row>
    <row r="58" spans="1:35" customFormat="1">
      <c r="A58" s="2">
        <v>6117</v>
      </c>
      <c r="B58" s="2" t="s">
        <v>15</v>
      </c>
      <c r="C58" s="190">
        <f>'400'!C58+'404'!C58+'411'!C58+'425'!C58+'426'!C58</f>
        <v>0</v>
      </c>
      <c r="D58" s="49">
        <f t="shared" si="104"/>
        <v>0</v>
      </c>
      <c r="E58" s="190">
        <f>'400'!E58+'404'!E58+'411'!E58+'425'!E58+'426'!E58</f>
        <v>0</v>
      </c>
      <c r="F58" s="49">
        <f t="shared" si="105"/>
        <v>0</v>
      </c>
      <c r="G58" s="190">
        <f>'400'!G58+'404'!G58+'411'!G58+'425'!G58+'426'!G58</f>
        <v>0</v>
      </c>
      <c r="H58" s="49">
        <f t="shared" si="106"/>
        <v>0</v>
      </c>
      <c r="I58" s="190">
        <f>'400'!I58+'404'!I58+'411'!I58+'425'!I58+'426'!I58</f>
        <v>0</v>
      </c>
      <c r="J58" s="49">
        <f t="shared" si="107"/>
        <v>0</v>
      </c>
      <c r="K58" s="190">
        <f>'400'!K58+'404'!K58+'411'!K58+'425'!K58+'426'!K58</f>
        <v>0</v>
      </c>
      <c r="L58" s="49">
        <f t="shared" si="108"/>
        <v>0</v>
      </c>
      <c r="M58" s="190">
        <f>'400'!M58+'404'!M58+'411'!M58+'425'!M58+'426'!M58</f>
        <v>0</v>
      </c>
      <c r="N58" s="49">
        <f t="shared" si="109"/>
        <v>0</v>
      </c>
      <c r="O58" s="190">
        <f>'400'!O58+'404'!O58+'411'!O58+'425'!O58+'426'!O58</f>
        <v>0</v>
      </c>
      <c r="P58" s="49">
        <f t="shared" si="110"/>
        <v>0</v>
      </c>
      <c r="Q58" s="190">
        <f>'400'!Q58+'404'!Q58+'411'!Q58+'425'!Q58+'426'!Q58</f>
        <v>0</v>
      </c>
      <c r="R58" s="49">
        <f t="shared" si="111"/>
        <v>0</v>
      </c>
      <c r="S58" s="190">
        <f>'400'!S58+'404'!S58+'411'!S58+'425'!S58+'426'!S58</f>
        <v>0</v>
      </c>
      <c r="T58" s="49">
        <f t="shared" si="112"/>
        <v>0</v>
      </c>
      <c r="U58" s="190">
        <f>'400'!U58+'404'!U58+'411'!U58+'425'!U58+'426'!U58</f>
        <v>0</v>
      </c>
      <c r="V58" s="49">
        <f t="shared" si="113"/>
        <v>0</v>
      </c>
      <c r="W58" s="190">
        <f>'400'!W58+'404'!W58+'411'!W58+'425'!W58+'426'!W58</f>
        <v>0</v>
      </c>
      <c r="X58" s="49">
        <f t="shared" si="114"/>
        <v>0</v>
      </c>
      <c r="Y58" s="190">
        <f>'400'!Y58+'404'!Y58+'411'!Y58+'425'!Y58+'426'!Y58</f>
        <v>0</v>
      </c>
      <c r="Z58" s="49">
        <f t="shared" si="115"/>
        <v>0</v>
      </c>
      <c r="AA58" s="320">
        <f>'400'!AA58+'404'!AA58+'411'!AA58+'425'!AA58+'426'!AA58</f>
        <v>0</v>
      </c>
      <c r="AB58" s="108">
        <f t="shared" si="116"/>
        <v>0</v>
      </c>
      <c r="AC58" s="89">
        <f t="shared" si="117"/>
        <v>0</v>
      </c>
      <c r="AD58" s="92">
        <f t="shared" si="118"/>
        <v>0</v>
      </c>
      <c r="AE58" s="144"/>
      <c r="AF58" s="64">
        <f t="shared" si="1"/>
        <v>0</v>
      </c>
      <c r="AG58" s="27" t="e">
        <f>'400'!#REF!+#REF!+#REF!+#REF!+'404'!#REF!+#REF!+#REF!+#REF!+#REF!+#REF!+#REF!</f>
        <v>#REF!</v>
      </c>
      <c r="AH58" s="27" t="e">
        <f t="shared" si="119"/>
        <v>#REF!</v>
      </c>
      <c r="AI58" s="27">
        <f>'400'!AA58+'404'!AA58+'411'!AA58</f>
        <v>0</v>
      </c>
    </row>
    <row r="59" spans="1:35" customFormat="1">
      <c r="A59" s="2">
        <v>6118</v>
      </c>
      <c r="B59" s="2" t="s">
        <v>16</v>
      </c>
      <c r="C59" s="190">
        <f>'400'!C59+'404'!C59+'411'!C59+'425'!C59+'426'!C59</f>
        <v>12500</v>
      </c>
      <c r="D59" s="49">
        <f t="shared" si="104"/>
        <v>1.8218095378287821E-2</v>
      </c>
      <c r="E59" s="190">
        <f>'400'!E59+'404'!E59+'411'!E59+'425'!E59+'426'!E59</f>
        <v>12500</v>
      </c>
      <c r="F59" s="49">
        <f t="shared" si="105"/>
        <v>2.341654555383808E-2</v>
      </c>
      <c r="G59" s="190">
        <f>'400'!G59+'404'!G59+'411'!G59+'425'!G59+'426'!G59</f>
        <v>12500</v>
      </c>
      <c r="H59" s="49">
        <f t="shared" si="106"/>
        <v>1.4116725608452124E-2</v>
      </c>
      <c r="I59" s="190">
        <f>'400'!I59+'404'!I59+'411'!I59+'425'!I59+'426'!I59</f>
        <v>12500</v>
      </c>
      <c r="J59" s="49">
        <f t="shared" si="107"/>
        <v>1.5987335534585329E-2</v>
      </c>
      <c r="K59" s="190">
        <f>'400'!K59+'404'!K59+'411'!K59+'425'!K59+'426'!K59</f>
        <v>12500</v>
      </c>
      <c r="L59" s="49">
        <f t="shared" si="108"/>
        <v>1.74801036863418E-2</v>
      </c>
      <c r="M59" s="190">
        <f>'400'!M59+'404'!M59+'411'!M59+'425'!M59+'426'!M59</f>
        <v>30625.321499999998</v>
      </c>
      <c r="N59" s="49">
        <f t="shared" si="109"/>
        <v>3.0202483624657151E-2</v>
      </c>
      <c r="O59" s="190">
        <f>'400'!O59+'404'!O59+'411'!O59+'425'!O59+'426'!O59</f>
        <v>32894.340499999998</v>
      </c>
      <c r="P59" s="49">
        <f t="shared" si="110"/>
        <v>5.1239354960061156E-2</v>
      </c>
      <c r="Q59" s="190">
        <f>'400'!Q59+'404'!Q59+'411'!Q59+'425'!Q59+'426'!Q59</f>
        <v>36639.925000000003</v>
      </c>
      <c r="R59" s="49">
        <f t="shared" si="111"/>
        <v>4.5962824725487586E-2</v>
      </c>
      <c r="S59" s="190">
        <f>'400'!S59+'404'!S59+'411'!S59+'425'!S59+'426'!S59</f>
        <v>38313.565999999999</v>
      </c>
      <c r="T59" s="49">
        <f t="shared" si="112"/>
        <v>4.77102506793338E-2</v>
      </c>
      <c r="U59" s="190">
        <f>'400'!U59+'404'!U59+'411'!U59+'425'!U59+'426'!U59</f>
        <v>35355.466999999997</v>
      </c>
      <c r="V59" s="49">
        <f t="shared" si="113"/>
        <v>5.5504656675078562E-2</v>
      </c>
      <c r="W59" s="190">
        <f>'400'!W59+'404'!W59+'411'!W59+'425'!W59+'426'!W59</f>
        <v>35100</v>
      </c>
      <c r="X59" s="49">
        <f t="shared" si="114"/>
        <v>5.4158982758235469E-2</v>
      </c>
      <c r="Y59" s="190">
        <f>'400'!Y59+'404'!Y59+'411'!Y59+'425'!Y59+'426'!Y59</f>
        <v>35100</v>
      </c>
      <c r="Z59" s="49">
        <f t="shared" si="115"/>
        <v>3.5851123294199067E-2</v>
      </c>
      <c r="AA59" s="320">
        <f>'400'!AA59+'404'!AA59+'411'!AA59+'425'!AA59+'426'!AA59</f>
        <v>306528.62</v>
      </c>
      <c r="AB59" s="108">
        <f t="shared" si="116"/>
        <v>3.360067683532731E-2</v>
      </c>
      <c r="AC59" s="89">
        <f t="shared" si="117"/>
        <v>25544.051666666666</v>
      </c>
      <c r="AD59" s="92">
        <f t="shared" si="118"/>
        <v>3.3600676835327317E-2</v>
      </c>
      <c r="AE59" s="144"/>
      <c r="AF59" s="64">
        <f t="shared" si="1"/>
        <v>306528.62</v>
      </c>
      <c r="AG59" s="27" t="e">
        <f>'400'!#REF!+#REF!+#REF!+#REF!+'404'!#REF!+#REF!+#REF!+#REF!+#REF!+#REF!+#REF!</f>
        <v>#REF!</v>
      </c>
      <c r="AH59" s="27" t="e">
        <f t="shared" si="119"/>
        <v>#REF!</v>
      </c>
      <c r="AI59" s="27">
        <f>'400'!AA59+'404'!AA59+'411'!AA59</f>
        <v>211528.62</v>
      </c>
    </row>
    <row r="60" spans="1:35" customFormat="1">
      <c r="A60" s="2">
        <v>6119</v>
      </c>
      <c r="B60" s="2" t="s">
        <v>17</v>
      </c>
      <c r="C60" s="190">
        <f>'400'!C60+'404'!C60+'411'!C60+'425'!C60+'426'!C60</f>
        <v>0</v>
      </c>
      <c r="D60" s="49">
        <f t="shared" si="104"/>
        <v>0</v>
      </c>
      <c r="E60" s="190">
        <f>'400'!E60+'404'!E60+'411'!E60+'425'!E60+'426'!E60</f>
        <v>0</v>
      </c>
      <c r="F60" s="49">
        <f t="shared" si="105"/>
        <v>0</v>
      </c>
      <c r="G60" s="190">
        <f>'400'!G60+'404'!G60+'411'!G60+'425'!G60+'426'!G60</f>
        <v>0</v>
      </c>
      <c r="H60" s="49">
        <f t="shared" si="106"/>
        <v>0</v>
      </c>
      <c r="I60" s="190">
        <f>'400'!I60+'404'!I60+'411'!I60+'425'!I60+'426'!I60</f>
        <v>0</v>
      </c>
      <c r="J60" s="49">
        <f t="shared" si="107"/>
        <v>0</v>
      </c>
      <c r="K60" s="190">
        <f>'400'!K60+'404'!K60+'411'!K60+'425'!K60+'426'!K60</f>
        <v>0</v>
      </c>
      <c r="L60" s="49">
        <f t="shared" si="108"/>
        <v>0</v>
      </c>
      <c r="M60" s="190">
        <f>'400'!M60+'404'!M60+'411'!M60+'425'!M60+'426'!M60</f>
        <v>0</v>
      </c>
      <c r="N60" s="49">
        <f t="shared" si="109"/>
        <v>0</v>
      </c>
      <c r="O60" s="190">
        <f>'400'!O60+'404'!O60+'411'!O60+'425'!O60+'426'!O60</f>
        <v>0</v>
      </c>
      <c r="P60" s="49">
        <f t="shared" si="110"/>
        <v>0</v>
      </c>
      <c r="Q60" s="190">
        <f>'400'!Q60+'404'!Q60+'411'!Q60+'425'!Q60+'426'!Q60</f>
        <v>0</v>
      </c>
      <c r="R60" s="49">
        <f t="shared" si="111"/>
        <v>0</v>
      </c>
      <c r="S60" s="190">
        <f>'400'!S60+'404'!S60+'411'!S60+'425'!S60+'426'!S60</f>
        <v>0</v>
      </c>
      <c r="T60" s="49">
        <f t="shared" si="112"/>
        <v>0</v>
      </c>
      <c r="U60" s="190">
        <f>'400'!U60+'404'!U60+'411'!U60+'425'!U60+'426'!U60</f>
        <v>0</v>
      </c>
      <c r="V60" s="49">
        <f t="shared" si="113"/>
        <v>0</v>
      </c>
      <c r="W60" s="190">
        <f>'400'!W60+'404'!W60+'411'!W60+'425'!W60+'426'!W60</f>
        <v>0</v>
      </c>
      <c r="X60" s="49">
        <f t="shared" si="114"/>
        <v>0</v>
      </c>
      <c r="Y60" s="190">
        <f>'400'!Y60+'404'!Y60+'411'!Y60+'425'!Y60+'426'!Y60</f>
        <v>0</v>
      </c>
      <c r="Z60" s="49">
        <f t="shared" si="115"/>
        <v>0</v>
      </c>
      <c r="AA60" s="320">
        <f>'400'!AA60+'404'!AA60+'411'!AA60+'425'!AA60+'426'!AA60</f>
        <v>0</v>
      </c>
      <c r="AB60" s="108">
        <f t="shared" si="116"/>
        <v>0</v>
      </c>
      <c r="AC60" s="89">
        <f t="shared" si="117"/>
        <v>0</v>
      </c>
      <c r="AD60" s="92">
        <f t="shared" si="118"/>
        <v>0</v>
      </c>
      <c r="AE60" s="144"/>
      <c r="AF60" s="64">
        <f t="shared" si="1"/>
        <v>0</v>
      </c>
      <c r="AG60" s="27" t="e">
        <f>'400'!#REF!+#REF!+#REF!+#REF!+'404'!#REF!+#REF!+#REF!+#REF!+#REF!+#REF!+#REF!</f>
        <v>#REF!</v>
      </c>
      <c r="AH60" s="27" t="e">
        <f t="shared" si="119"/>
        <v>#REF!</v>
      </c>
      <c r="AI60" s="27">
        <f>'400'!AA60+'404'!AA60+'411'!AA60</f>
        <v>0</v>
      </c>
    </row>
    <row r="61" spans="1:35" customFormat="1">
      <c r="A61" s="2">
        <v>6120</v>
      </c>
      <c r="B61" s="2" t="s">
        <v>18</v>
      </c>
      <c r="C61" s="190">
        <f>'400'!C61+'404'!C61+'411'!C61+'425'!C61+'426'!C61</f>
        <v>0</v>
      </c>
      <c r="D61" s="49">
        <f t="shared" si="104"/>
        <v>0</v>
      </c>
      <c r="E61" s="190">
        <f>'400'!E61+'404'!E61+'411'!E61+'425'!E61+'426'!E61</f>
        <v>0</v>
      </c>
      <c r="F61" s="49">
        <f t="shared" si="105"/>
        <v>0</v>
      </c>
      <c r="G61" s="190">
        <f>'400'!G61+'404'!G61+'411'!G61+'425'!G61+'426'!G61</f>
        <v>0</v>
      </c>
      <c r="H61" s="49">
        <f t="shared" si="106"/>
        <v>0</v>
      </c>
      <c r="I61" s="190">
        <f>'400'!I61+'404'!I61+'411'!I61+'425'!I61+'426'!I61</f>
        <v>0</v>
      </c>
      <c r="J61" s="49">
        <f t="shared" si="107"/>
        <v>0</v>
      </c>
      <c r="K61" s="190">
        <f>'400'!K61+'404'!K61+'411'!K61+'425'!K61+'426'!K61</f>
        <v>0</v>
      </c>
      <c r="L61" s="49">
        <f t="shared" si="108"/>
        <v>0</v>
      </c>
      <c r="M61" s="190">
        <f>'400'!M61+'404'!M61+'411'!M61+'425'!M61+'426'!M61</f>
        <v>0</v>
      </c>
      <c r="N61" s="49">
        <f t="shared" si="109"/>
        <v>0</v>
      </c>
      <c r="O61" s="190">
        <f>'400'!O61+'404'!O61+'411'!O61+'425'!O61+'426'!O61</f>
        <v>0</v>
      </c>
      <c r="P61" s="49">
        <f t="shared" si="110"/>
        <v>0</v>
      </c>
      <c r="Q61" s="190">
        <f>'400'!Q61+'404'!Q61+'411'!Q61+'425'!Q61+'426'!Q61</f>
        <v>0</v>
      </c>
      <c r="R61" s="49">
        <f t="shared" si="111"/>
        <v>0</v>
      </c>
      <c r="S61" s="190">
        <f>'400'!S61+'404'!S61+'411'!S61+'425'!S61+'426'!S61</f>
        <v>0</v>
      </c>
      <c r="T61" s="49">
        <f t="shared" si="112"/>
        <v>0</v>
      </c>
      <c r="U61" s="190">
        <f>'400'!U61+'404'!U61+'411'!U61+'425'!U61+'426'!U61</f>
        <v>0</v>
      </c>
      <c r="V61" s="49">
        <f t="shared" si="113"/>
        <v>0</v>
      </c>
      <c r="W61" s="190">
        <f>'400'!W61+'404'!W61+'411'!W61+'425'!W61+'426'!W61</f>
        <v>0</v>
      </c>
      <c r="X61" s="49">
        <f t="shared" si="114"/>
        <v>0</v>
      </c>
      <c r="Y61" s="190">
        <f>'400'!Y61+'404'!Y61+'411'!Y61+'425'!Y61+'426'!Y61</f>
        <v>0</v>
      </c>
      <c r="Z61" s="49">
        <f t="shared" si="115"/>
        <v>0</v>
      </c>
      <c r="AA61" s="320">
        <f>'400'!AA61+'404'!AA61+'411'!AA61+'425'!AA61+'426'!AA61</f>
        <v>0</v>
      </c>
      <c r="AB61" s="108">
        <f t="shared" si="116"/>
        <v>0</v>
      </c>
      <c r="AC61" s="89">
        <f t="shared" si="117"/>
        <v>0</v>
      </c>
      <c r="AD61" s="92">
        <f t="shared" si="118"/>
        <v>0</v>
      </c>
      <c r="AE61" s="144"/>
      <c r="AF61" s="64">
        <f t="shared" si="1"/>
        <v>0</v>
      </c>
      <c r="AG61" s="27" t="e">
        <f>'400'!#REF!+#REF!+#REF!+#REF!+'404'!#REF!+#REF!+#REF!+#REF!+#REF!+#REF!+#REF!</f>
        <v>#REF!</v>
      </c>
      <c r="AH61" s="27" t="e">
        <f t="shared" si="119"/>
        <v>#REF!</v>
      </c>
      <c r="AI61" s="27">
        <f>'400'!AA61+'404'!AA61+'411'!AA61</f>
        <v>0</v>
      </c>
    </row>
    <row r="62" spans="1:35" customFormat="1">
      <c r="A62" s="2">
        <v>6121</v>
      </c>
      <c r="B62" s="2" t="s">
        <v>19</v>
      </c>
      <c r="C62" s="190">
        <f>'400'!C62+'404'!C62+'411'!C62+'425'!C62+'426'!C62</f>
        <v>220</v>
      </c>
      <c r="D62" s="49">
        <f t="shared" si="104"/>
        <v>3.2063847865786561E-4</v>
      </c>
      <c r="E62" s="190">
        <f>'400'!E62+'404'!E62+'411'!E62+'425'!E62+'426'!E62</f>
        <v>220</v>
      </c>
      <c r="F62" s="49">
        <f t="shared" si="105"/>
        <v>4.1213120174755019E-4</v>
      </c>
      <c r="G62" s="190">
        <f>'400'!G62+'404'!G62+'411'!G62+'425'!G62+'426'!G62</f>
        <v>220</v>
      </c>
      <c r="H62" s="49">
        <f t="shared" si="106"/>
        <v>2.4845437070875737E-4</v>
      </c>
      <c r="I62" s="190">
        <f>'400'!I62+'404'!I62+'411'!I62+'425'!I62+'426'!I62</f>
        <v>220</v>
      </c>
      <c r="J62" s="49">
        <f t="shared" si="107"/>
        <v>2.8137710540870181E-4</v>
      </c>
      <c r="K62" s="190">
        <f>'400'!K62+'404'!K62+'411'!K62+'425'!K62+'426'!K62</f>
        <v>220</v>
      </c>
      <c r="L62" s="49">
        <f t="shared" si="108"/>
        <v>3.0764982487961568E-4</v>
      </c>
      <c r="M62" s="190">
        <f>'400'!M62+'404'!M62+'411'!M62+'425'!M62+'426'!M62</f>
        <v>220</v>
      </c>
      <c r="N62" s="49">
        <f t="shared" si="109"/>
        <v>2.1696250266057041E-4</v>
      </c>
      <c r="O62" s="190">
        <f>'400'!O62+'404'!O62+'411'!O62+'425'!O62+'426'!O62</f>
        <v>220</v>
      </c>
      <c r="P62" s="49">
        <f t="shared" si="110"/>
        <v>3.4269293501152439E-4</v>
      </c>
      <c r="Q62" s="190">
        <f>'400'!Q62+'404'!Q62+'411'!Q62+'425'!Q62+'426'!Q62</f>
        <v>220</v>
      </c>
      <c r="R62" s="49">
        <f t="shared" si="111"/>
        <v>2.7597822428968586E-4</v>
      </c>
      <c r="S62" s="190">
        <f>'400'!S62+'404'!S62+'411'!S62+'425'!S62+'426'!S62</f>
        <v>220</v>
      </c>
      <c r="T62" s="49">
        <f t="shared" si="112"/>
        <v>2.7395662281744899E-4</v>
      </c>
      <c r="U62" s="190">
        <f>'400'!U62+'404'!U62+'411'!U62+'425'!U62+'426'!U62</f>
        <v>220</v>
      </c>
      <c r="V62" s="49">
        <f t="shared" si="113"/>
        <v>3.4537867845211277E-4</v>
      </c>
      <c r="W62" s="190">
        <f>'400'!W62+'404'!W62+'411'!W62+'425'!W62+'426'!W62</f>
        <v>220</v>
      </c>
      <c r="X62" s="49">
        <f t="shared" si="114"/>
        <v>3.3945801159007986E-4</v>
      </c>
      <c r="Y62" s="190">
        <f>'400'!Y62+'404'!Y62+'411'!Y62+'425'!Y62+'426'!Y62</f>
        <v>220</v>
      </c>
      <c r="Z62" s="49">
        <f t="shared" si="115"/>
        <v>2.2470789529127619E-4</v>
      </c>
      <c r="AA62" s="320">
        <f>'400'!AA62+'404'!AA62+'411'!AA62+'425'!AA62+'426'!AA62</f>
        <v>2640</v>
      </c>
      <c r="AB62" s="108">
        <f t="shared" si="116"/>
        <v>2.8938826934093168E-4</v>
      </c>
      <c r="AC62" s="89">
        <f t="shared" si="117"/>
        <v>220</v>
      </c>
      <c r="AD62" s="92">
        <f t="shared" si="118"/>
        <v>2.8938826934093173E-4</v>
      </c>
      <c r="AE62" s="144"/>
      <c r="AF62" s="64">
        <f t="shared" si="1"/>
        <v>2640</v>
      </c>
      <c r="AG62" s="27" t="e">
        <f>'400'!#REF!+#REF!+#REF!+#REF!+'404'!#REF!+#REF!+#REF!+#REF!+#REF!+#REF!+#REF!</f>
        <v>#REF!</v>
      </c>
      <c r="AH62" s="27" t="e">
        <f t="shared" si="119"/>
        <v>#REF!</v>
      </c>
      <c r="AI62" s="27">
        <f>'400'!AA62+'404'!AA62+'411'!AA62</f>
        <v>1440</v>
      </c>
    </row>
    <row r="63" spans="1:35" customFormat="1">
      <c r="A63" s="2">
        <v>6122</v>
      </c>
      <c r="B63" s="2" t="s">
        <v>20</v>
      </c>
      <c r="C63" s="190">
        <f>'400'!C63+'404'!C63+'411'!C63+'425'!C63+'426'!C63</f>
        <v>0</v>
      </c>
      <c r="D63" s="49">
        <f t="shared" si="104"/>
        <v>0</v>
      </c>
      <c r="E63" s="190">
        <f>'400'!E63+'404'!E63+'411'!E63+'425'!E63+'426'!E63</f>
        <v>0</v>
      </c>
      <c r="F63" s="49">
        <f t="shared" si="105"/>
        <v>0</v>
      </c>
      <c r="G63" s="190">
        <f>'400'!G63+'404'!G63+'411'!G63+'425'!G63+'426'!G63</f>
        <v>0</v>
      </c>
      <c r="H63" s="49">
        <f t="shared" si="106"/>
        <v>0</v>
      </c>
      <c r="I63" s="190">
        <f>'400'!I63+'404'!I63+'411'!I63+'425'!I63+'426'!I63</f>
        <v>0</v>
      </c>
      <c r="J63" s="49">
        <f t="shared" si="107"/>
        <v>0</v>
      </c>
      <c r="K63" s="190">
        <f>'400'!K63+'404'!K63+'411'!K63+'425'!K63+'426'!K63</f>
        <v>0</v>
      </c>
      <c r="L63" s="49">
        <f t="shared" si="108"/>
        <v>0</v>
      </c>
      <c r="M63" s="190">
        <f>'400'!M63+'404'!M63+'411'!M63+'425'!M63+'426'!M63</f>
        <v>0</v>
      </c>
      <c r="N63" s="49">
        <f t="shared" si="109"/>
        <v>0</v>
      </c>
      <c r="O63" s="190">
        <f>'400'!O63+'404'!O63+'411'!O63+'425'!O63+'426'!O63</f>
        <v>0</v>
      </c>
      <c r="P63" s="49">
        <f t="shared" si="110"/>
        <v>0</v>
      </c>
      <c r="Q63" s="190">
        <f>'400'!Q63+'404'!Q63+'411'!Q63+'425'!Q63+'426'!Q63</f>
        <v>0</v>
      </c>
      <c r="R63" s="49">
        <f t="shared" si="111"/>
        <v>0</v>
      </c>
      <c r="S63" s="190">
        <f>'400'!S63+'404'!S63+'411'!S63+'425'!S63+'426'!S63</f>
        <v>0</v>
      </c>
      <c r="T63" s="49">
        <f t="shared" si="112"/>
        <v>0</v>
      </c>
      <c r="U63" s="190">
        <f>'400'!U63+'404'!U63+'411'!U63+'425'!U63+'426'!U63</f>
        <v>0</v>
      </c>
      <c r="V63" s="49">
        <f t="shared" si="113"/>
        <v>0</v>
      </c>
      <c r="W63" s="190">
        <f>'400'!W63+'404'!W63+'411'!W63+'425'!W63+'426'!W63</f>
        <v>0</v>
      </c>
      <c r="X63" s="49">
        <f t="shared" si="114"/>
        <v>0</v>
      </c>
      <c r="Y63" s="190">
        <f>'400'!Y63+'404'!Y63+'411'!Y63+'425'!Y63+'426'!Y63</f>
        <v>0</v>
      </c>
      <c r="Z63" s="49">
        <f t="shared" si="115"/>
        <v>0</v>
      </c>
      <c r="AA63" s="320">
        <f>'400'!AA63+'404'!AA63+'411'!AA63+'425'!AA63+'426'!AA63</f>
        <v>0</v>
      </c>
      <c r="AB63" s="108">
        <f t="shared" si="116"/>
        <v>0</v>
      </c>
      <c r="AC63" s="89">
        <f t="shared" si="117"/>
        <v>0</v>
      </c>
      <c r="AD63" s="92">
        <f t="shared" si="118"/>
        <v>0</v>
      </c>
      <c r="AE63" s="144"/>
      <c r="AF63" s="64">
        <f t="shared" si="1"/>
        <v>0</v>
      </c>
      <c r="AG63" s="27" t="e">
        <f>'400'!#REF!+#REF!+#REF!+#REF!+'404'!#REF!+#REF!+#REF!+#REF!+#REF!+#REF!+#REF!</f>
        <v>#REF!</v>
      </c>
      <c r="AH63" s="27" t="e">
        <f t="shared" si="119"/>
        <v>#REF!</v>
      </c>
      <c r="AI63" s="27">
        <f>'400'!AA63+'404'!AA63+'411'!AA63</f>
        <v>0</v>
      </c>
    </row>
    <row r="64" spans="1:35" customFormat="1">
      <c r="A64" s="2">
        <v>6123</v>
      </c>
      <c r="B64" s="2" t="s">
        <v>21</v>
      </c>
      <c r="C64" s="190">
        <f>'400'!C64+'404'!C64+'411'!C64+'425'!C64+'426'!C64</f>
        <v>0</v>
      </c>
      <c r="D64" s="49">
        <f t="shared" si="104"/>
        <v>0</v>
      </c>
      <c r="E64" s="190">
        <f>'400'!E64+'404'!E64+'411'!E64+'425'!E64+'426'!E64</f>
        <v>0</v>
      </c>
      <c r="F64" s="49">
        <f t="shared" si="105"/>
        <v>0</v>
      </c>
      <c r="G64" s="190">
        <f>'400'!G64+'404'!G64+'411'!G64+'425'!G64+'426'!G64</f>
        <v>0</v>
      </c>
      <c r="H64" s="49">
        <f t="shared" si="106"/>
        <v>0</v>
      </c>
      <c r="I64" s="190">
        <f>'400'!I64+'404'!I64+'411'!I64+'425'!I64+'426'!I64</f>
        <v>0</v>
      </c>
      <c r="J64" s="49">
        <f t="shared" si="107"/>
        <v>0</v>
      </c>
      <c r="K64" s="190">
        <f>'400'!K64+'404'!K64+'411'!K64+'425'!K64+'426'!K64</f>
        <v>0</v>
      </c>
      <c r="L64" s="49">
        <f t="shared" si="108"/>
        <v>0</v>
      </c>
      <c r="M64" s="190">
        <f>'400'!M64+'404'!M64+'411'!M64+'425'!M64+'426'!M64</f>
        <v>0</v>
      </c>
      <c r="N64" s="49">
        <f t="shared" si="109"/>
        <v>0</v>
      </c>
      <c r="O64" s="190">
        <f>'400'!O64+'404'!O64+'411'!O64+'425'!O64+'426'!O64</f>
        <v>0</v>
      </c>
      <c r="P64" s="49">
        <f t="shared" si="110"/>
        <v>0</v>
      </c>
      <c r="Q64" s="190">
        <f>'400'!Q64+'404'!Q64+'411'!Q64+'425'!Q64+'426'!Q64</f>
        <v>0</v>
      </c>
      <c r="R64" s="49">
        <f t="shared" si="111"/>
        <v>0</v>
      </c>
      <c r="S64" s="190">
        <f>'400'!S64+'404'!S64+'411'!S64+'425'!S64+'426'!S64</f>
        <v>0</v>
      </c>
      <c r="T64" s="49">
        <f t="shared" si="112"/>
        <v>0</v>
      </c>
      <c r="U64" s="190">
        <f>'400'!U64+'404'!U64+'411'!U64+'425'!U64+'426'!U64</f>
        <v>0</v>
      </c>
      <c r="V64" s="49">
        <f t="shared" si="113"/>
        <v>0</v>
      </c>
      <c r="W64" s="190">
        <f>'400'!W64+'404'!W64+'411'!W64+'425'!W64+'426'!W64</f>
        <v>0</v>
      </c>
      <c r="X64" s="49">
        <f t="shared" si="114"/>
        <v>0</v>
      </c>
      <c r="Y64" s="190">
        <f>'400'!Y64+'404'!Y64+'411'!Y64+'425'!Y64+'426'!Y64</f>
        <v>0</v>
      </c>
      <c r="Z64" s="49">
        <f t="shared" si="115"/>
        <v>0</v>
      </c>
      <c r="AA64" s="320">
        <f>'400'!AA64+'404'!AA64+'411'!AA64+'425'!AA64+'426'!AA64</f>
        <v>0</v>
      </c>
      <c r="AB64" s="108">
        <f t="shared" si="116"/>
        <v>0</v>
      </c>
      <c r="AC64" s="89">
        <f t="shared" si="117"/>
        <v>0</v>
      </c>
      <c r="AD64" s="92">
        <f t="shared" si="118"/>
        <v>0</v>
      </c>
      <c r="AE64" s="144"/>
      <c r="AF64" s="64">
        <f t="shared" si="1"/>
        <v>0</v>
      </c>
      <c r="AG64" s="27" t="e">
        <f>'400'!#REF!+#REF!+#REF!+#REF!+'404'!#REF!+#REF!+#REF!+#REF!+#REF!+#REF!+#REF!</f>
        <v>#REF!</v>
      </c>
      <c r="AH64" s="27" t="e">
        <f t="shared" si="119"/>
        <v>#REF!</v>
      </c>
      <c r="AI64" s="27">
        <f>'400'!AA64+'404'!AA64+'411'!AA64</f>
        <v>0</v>
      </c>
    </row>
    <row r="65" spans="1:35" customFormat="1">
      <c r="A65" s="2">
        <v>6124</v>
      </c>
      <c r="B65" s="2" t="s">
        <v>22</v>
      </c>
      <c r="C65" s="190">
        <f>'400'!C65+'404'!C65+'411'!C65+'425'!C65+'426'!C65</f>
        <v>3250</v>
      </c>
      <c r="D65" s="49">
        <f t="shared" si="104"/>
        <v>4.7367047983548332E-3</v>
      </c>
      <c r="E65" s="190">
        <f>'400'!E65+'404'!E65+'411'!E65+'425'!E65+'426'!E65</f>
        <v>3250</v>
      </c>
      <c r="F65" s="49">
        <f t="shared" si="105"/>
        <v>6.088301843997901E-3</v>
      </c>
      <c r="G65" s="190">
        <f>'400'!G65+'404'!G65+'411'!G65+'425'!G65+'426'!G65</f>
        <v>3250</v>
      </c>
      <c r="H65" s="49">
        <f t="shared" si="106"/>
        <v>3.6703486581975524E-3</v>
      </c>
      <c r="I65" s="190">
        <f>'400'!I65+'404'!I65+'411'!I65+'425'!I65+'426'!I65</f>
        <v>3250</v>
      </c>
      <c r="J65" s="49">
        <f t="shared" si="107"/>
        <v>4.1567072389921862E-3</v>
      </c>
      <c r="K65" s="190">
        <f>'400'!K65+'404'!K65+'411'!K65+'425'!K65+'426'!K65</f>
        <v>3250</v>
      </c>
      <c r="L65" s="49">
        <f t="shared" si="108"/>
        <v>4.5448269584488681E-3</v>
      </c>
      <c r="M65" s="190">
        <f>'400'!M65+'404'!M65+'411'!M65+'425'!M65+'426'!M65</f>
        <v>3250</v>
      </c>
      <c r="N65" s="49">
        <f t="shared" si="109"/>
        <v>3.2051278802129718E-3</v>
      </c>
      <c r="O65" s="190">
        <f>'400'!O65+'404'!O65+'411'!O65+'425'!O65+'426'!O65</f>
        <v>3250</v>
      </c>
      <c r="P65" s="49">
        <f t="shared" si="110"/>
        <v>5.0625092672157016E-3</v>
      </c>
      <c r="Q65" s="190">
        <f>'400'!Q65+'404'!Q65+'411'!Q65+'425'!Q65+'426'!Q65</f>
        <v>3250</v>
      </c>
      <c r="R65" s="49">
        <f t="shared" si="111"/>
        <v>4.0769510406430867E-3</v>
      </c>
      <c r="S65" s="190">
        <f>'400'!S65+'404'!S65+'411'!S65+'425'!S65+'426'!S65</f>
        <v>3250</v>
      </c>
      <c r="T65" s="49">
        <f t="shared" si="112"/>
        <v>4.0470864734395871E-3</v>
      </c>
      <c r="U65" s="190">
        <f>'400'!U65+'404'!U65+'411'!U65+'425'!U65+'426'!U65</f>
        <v>3250</v>
      </c>
      <c r="V65" s="49">
        <f t="shared" si="113"/>
        <v>5.1021850225880299E-3</v>
      </c>
      <c r="W65" s="190">
        <f>'400'!W65+'404'!W65+'411'!W65+'425'!W65+'426'!W65</f>
        <v>3250</v>
      </c>
      <c r="X65" s="49">
        <f t="shared" si="114"/>
        <v>5.0147206257625436E-3</v>
      </c>
      <c r="Y65" s="190">
        <f>'400'!Y65+'404'!Y65+'411'!Y65+'425'!Y65+'426'!Y65</f>
        <v>3250</v>
      </c>
      <c r="Z65" s="49">
        <f t="shared" si="115"/>
        <v>3.3195484531665801E-3</v>
      </c>
      <c r="AA65" s="320">
        <f>'400'!AA65+'404'!AA65+'411'!AA65+'425'!AA65+'426'!AA65</f>
        <v>39000</v>
      </c>
      <c r="AB65" s="108">
        <f t="shared" si="116"/>
        <v>4.2750539789001276E-3</v>
      </c>
      <c r="AC65" s="89">
        <f t="shared" si="117"/>
        <v>3250</v>
      </c>
      <c r="AD65" s="92">
        <f t="shared" si="118"/>
        <v>4.2750539789001285E-3</v>
      </c>
      <c r="AE65" s="144"/>
      <c r="AF65" s="64">
        <f t="shared" si="1"/>
        <v>39000</v>
      </c>
      <c r="AG65" s="27" t="e">
        <f>'400'!#REF!+#REF!+#REF!+#REF!+'404'!#REF!+#REF!+#REF!+#REF!+#REF!+#REF!+#REF!</f>
        <v>#REF!</v>
      </c>
      <c r="AH65" s="27" t="e">
        <f t="shared" si="119"/>
        <v>#REF!</v>
      </c>
      <c r="AI65" s="27">
        <f>'400'!AA65+'404'!AA65+'411'!AA65</f>
        <v>22200</v>
      </c>
    </row>
    <row r="66" spans="1:35" customFormat="1">
      <c r="A66" s="2">
        <v>6125</v>
      </c>
      <c r="B66" s="2" t="s">
        <v>78</v>
      </c>
      <c r="C66" s="190">
        <f>'400'!C66+'404'!C66+'411'!C66+'425'!C66+'426'!C66</f>
        <v>409.3</v>
      </c>
      <c r="D66" s="49">
        <f t="shared" si="104"/>
        <v>5.9653331506665636E-4</v>
      </c>
      <c r="E66" s="190">
        <f>'400'!E66+'404'!E66+'411'!E66+'425'!E66+'426'!E66</f>
        <v>409.3</v>
      </c>
      <c r="F66" s="49">
        <f t="shared" si="105"/>
        <v>7.6675136761487407E-4</v>
      </c>
      <c r="G66" s="190">
        <f>'400'!G66+'404'!G66+'411'!G66+'425'!G66+'426'!G66</f>
        <v>409.3</v>
      </c>
      <c r="H66" s="49">
        <f t="shared" si="106"/>
        <v>4.6223806332315636E-4</v>
      </c>
      <c r="I66" s="190">
        <f>'400'!I66+'404'!I66+'411'!I66+'425'!I66+'426'!I66</f>
        <v>409.3</v>
      </c>
      <c r="J66" s="49">
        <f t="shared" si="107"/>
        <v>5.2348931474446208E-4</v>
      </c>
      <c r="K66" s="190">
        <f>'400'!K66+'404'!K66+'411'!K66+'425'!K66+'426'!K66</f>
        <v>409.3</v>
      </c>
      <c r="L66" s="49">
        <f t="shared" si="108"/>
        <v>5.7236851510557589E-4</v>
      </c>
      <c r="M66" s="190">
        <f>'400'!M66+'404'!M66+'411'!M66+'425'!M66+'426'!M66</f>
        <v>409.3</v>
      </c>
      <c r="N66" s="49">
        <f t="shared" si="109"/>
        <v>4.036488742680521E-4</v>
      </c>
      <c r="O66" s="190">
        <f>'400'!O66+'404'!O66+'411'!O66+'425'!O66+'426'!O66</f>
        <v>409.3</v>
      </c>
      <c r="P66" s="49">
        <f t="shared" si="110"/>
        <v>6.3756462863734972E-4</v>
      </c>
      <c r="Q66" s="190">
        <f>'400'!Q66+'404'!Q66+'411'!Q66+'425'!Q66+'426'!Q66</f>
        <v>409.3</v>
      </c>
      <c r="R66" s="49">
        <f t="shared" si="111"/>
        <v>5.1344494182622015E-4</v>
      </c>
      <c r="S66" s="190">
        <f>'400'!S66+'404'!S66+'411'!S66+'425'!S66+'426'!S66</f>
        <v>409.3</v>
      </c>
      <c r="T66" s="49">
        <f t="shared" si="112"/>
        <v>5.0968384417809942E-4</v>
      </c>
      <c r="U66" s="190">
        <f>'400'!U66+'404'!U66+'411'!U66+'425'!U66+'426'!U66</f>
        <v>409.3</v>
      </c>
      <c r="V66" s="49">
        <f t="shared" si="113"/>
        <v>6.4256133222931713E-4</v>
      </c>
      <c r="W66" s="190">
        <f>'400'!W66+'404'!W66+'411'!W66+'425'!W66+'426'!W66</f>
        <v>409.3</v>
      </c>
      <c r="X66" s="49">
        <f t="shared" si="114"/>
        <v>6.3154620065372581E-4</v>
      </c>
      <c r="Y66" s="190">
        <f>'400'!Y66+'404'!Y66+'411'!Y66+'425'!Y66+'426'!Y66</f>
        <v>409.3</v>
      </c>
      <c r="Z66" s="49">
        <f t="shared" si="115"/>
        <v>4.1805882519417885E-4</v>
      </c>
      <c r="AA66" s="320">
        <f>'400'!AA66+'404'!AA66+'411'!AA66+'425'!AA66+'426'!AA66</f>
        <v>4911.6000000000004</v>
      </c>
      <c r="AB66" s="108">
        <f t="shared" si="116"/>
        <v>5.3839372109656068E-4</v>
      </c>
      <c r="AC66" s="89">
        <f t="shared" si="117"/>
        <v>409.3</v>
      </c>
      <c r="AD66" s="92">
        <f t="shared" si="118"/>
        <v>5.3839372109656079E-4</v>
      </c>
      <c r="AE66" s="144"/>
      <c r="AF66" s="64">
        <f t="shared" si="1"/>
        <v>4911.6000000000013</v>
      </c>
      <c r="AG66" s="27" t="e">
        <f>'400'!#REF!+#REF!+#REF!+#REF!+'404'!#REF!+#REF!+#REF!+#REF!+#REF!+#REF!+#REF!</f>
        <v>#REF!</v>
      </c>
      <c r="AH66" s="27" t="e">
        <f t="shared" si="119"/>
        <v>#REF!</v>
      </c>
      <c r="AI66" s="27">
        <f>'400'!AA66+'404'!AA66+'411'!AA66</f>
        <v>2946.96</v>
      </c>
    </row>
    <row r="67" spans="1:35" s="1" customFormat="1">
      <c r="A67" s="2">
        <v>6126</v>
      </c>
      <c r="B67" s="2" t="s">
        <v>104</v>
      </c>
      <c r="C67" s="190">
        <f>'400'!C67+'404'!C67+'411'!C67+'425'!C67+'426'!C67</f>
        <v>0</v>
      </c>
      <c r="D67" s="49">
        <f t="shared" si="104"/>
        <v>0</v>
      </c>
      <c r="E67" s="190">
        <f>'400'!E67+'404'!E67+'411'!E67+'425'!E67+'426'!E67</f>
        <v>0</v>
      </c>
      <c r="F67" s="49">
        <f t="shared" si="105"/>
        <v>0</v>
      </c>
      <c r="G67" s="190">
        <f>'400'!G67+'404'!G67+'411'!G67+'425'!G67+'426'!G67</f>
        <v>0</v>
      </c>
      <c r="H67" s="49">
        <f t="shared" si="106"/>
        <v>0</v>
      </c>
      <c r="I67" s="190">
        <f>'400'!I67+'404'!I67+'411'!I67+'425'!I67+'426'!I67</f>
        <v>0</v>
      </c>
      <c r="J67" s="49">
        <f t="shared" si="107"/>
        <v>0</v>
      </c>
      <c r="K67" s="190">
        <f>'400'!K67+'404'!K67+'411'!K67+'425'!K67+'426'!K67</f>
        <v>0</v>
      </c>
      <c r="L67" s="49">
        <f t="shared" si="108"/>
        <v>0</v>
      </c>
      <c r="M67" s="190">
        <f>'400'!M67+'404'!M67+'411'!M67+'425'!M67+'426'!M67</f>
        <v>0</v>
      </c>
      <c r="N67" s="49">
        <f t="shared" si="109"/>
        <v>0</v>
      </c>
      <c r="O67" s="190">
        <f>'400'!O67+'404'!O67+'411'!O67+'425'!O67+'426'!O67</f>
        <v>0</v>
      </c>
      <c r="P67" s="49">
        <f t="shared" si="110"/>
        <v>0</v>
      </c>
      <c r="Q67" s="190">
        <f>'400'!Q67+'404'!Q67+'411'!Q67+'425'!Q67+'426'!Q67</f>
        <v>0</v>
      </c>
      <c r="R67" s="49">
        <f t="shared" si="111"/>
        <v>0</v>
      </c>
      <c r="S67" s="190">
        <f>'400'!S67+'404'!S67+'411'!S67+'425'!S67+'426'!S67</f>
        <v>0</v>
      </c>
      <c r="T67" s="49">
        <f t="shared" si="112"/>
        <v>0</v>
      </c>
      <c r="U67" s="190">
        <f>'400'!U67+'404'!U67+'411'!U67+'425'!U67+'426'!U67</f>
        <v>0</v>
      </c>
      <c r="V67" s="49">
        <f t="shared" si="113"/>
        <v>0</v>
      </c>
      <c r="W67" s="190">
        <f>'400'!W67+'404'!W67+'411'!W67+'425'!W67+'426'!W67</f>
        <v>0</v>
      </c>
      <c r="X67" s="49">
        <f t="shared" si="114"/>
        <v>0</v>
      </c>
      <c r="Y67" s="190">
        <f>'400'!Y67+'404'!Y67+'411'!Y67+'425'!Y67+'426'!Y67</f>
        <v>0</v>
      </c>
      <c r="Z67" s="49">
        <f t="shared" si="115"/>
        <v>0</v>
      </c>
      <c r="AA67" s="320">
        <f>'400'!AA67+'404'!AA67+'411'!AA67+'425'!AA67+'426'!AA67</f>
        <v>0</v>
      </c>
      <c r="AB67" s="108">
        <f t="shared" si="116"/>
        <v>0</v>
      </c>
      <c r="AC67" s="89">
        <f t="shared" si="117"/>
        <v>0</v>
      </c>
      <c r="AD67" s="92">
        <f t="shared" si="118"/>
        <v>0</v>
      </c>
      <c r="AE67" s="144"/>
      <c r="AF67" s="64">
        <f t="shared" si="1"/>
        <v>0</v>
      </c>
      <c r="AG67" s="27" t="e">
        <f>'400'!#REF!+#REF!+#REF!+#REF!+'404'!#REF!+#REF!+#REF!+#REF!+#REF!+#REF!+#REF!</f>
        <v>#REF!</v>
      </c>
      <c r="AH67" s="27" t="e">
        <f t="shared" si="119"/>
        <v>#REF!</v>
      </c>
      <c r="AI67" s="27">
        <f>'400'!AA67+'404'!AA67+'411'!AA67</f>
        <v>0</v>
      </c>
    </row>
    <row r="68" spans="1:35" customFormat="1">
      <c r="A68" s="128">
        <v>6127</v>
      </c>
      <c r="B68" s="2" t="s">
        <v>76</v>
      </c>
      <c r="C68" s="190">
        <f>'400'!C68+'404'!C68+'411'!C68+'425'!C68+'426'!C68</f>
        <v>985</v>
      </c>
      <c r="D68" s="49">
        <f t="shared" si="104"/>
        <v>1.4355859158090801E-3</v>
      </c>
      <c r="E68" s="190">
        <f>'400'!E68+'404'!E68+'411'!E68+'425'!E68+'426'!E68</f>
        <v>985</v>
      </c>
      <c r="F68" s="49">
        <f t="shared" si="105"/>
        <v>1.8452237896424406E-3</v>
      </c>
      <c r="G68" s="190">
        <f>'400'!G68+'404'!G68+'411'!G68+'425'!G68+'426'!G68</f>
        <v>985</v>
      </c>
      <c r="H68" s="49">
        <f t="shared" si="106"/>
        <v>1.1123979779460273E-3</v>
      </c>
      <c r="I68" s="190">
        <f>'400'!I68+'404'!I68+'411'!I68+'425'!I68+'426'!I68</f>
        <v>985</v>
      </c>
      <c r="J68" s="49">
        <f t="shared" si="107"/>
        <v>1.259802040125324E-3</v>
      </c>
      <c r="K68" s="190">
        <f>'400'!K68+'404'!K68+'411'!K68+'425'!K68+'426'!K68</f>
        <v>985</v>
      </c>
      <c r="L68" s="49">
        <f t="shared" si="108"/>
        <v>1.3774321704837339E-3</v>
      </c>
      <c r="M68" s="190">
        <f>'400'!M68+'404'!M68+'411'!M68+'425'!M68+'426'!M68</f>
        <v>985</v>
      </c>
      <c r="N68" s="49">
        <f t="shared" si="109"/>
        <v>9.7140029600300843E-4</v>
      </c>
      <c r="O68" s="190">
        <f>'400'!O68+'404'!O68+'411'!O68+'425'!O68+'426'!O68</f>
        <v>985</v>
      </c>
      <c r="P68" s="49">
        <f t="shared" si="110"/>
        <v>1.5343297317561434E-3</v>
      </c>
      <c r="Q68" s="190">
        <f>'400'!Q68+'404'!Q68+'411'!Q68+'425'!Q68+'426'!Q68</f>
        <v>985</v>
      </c>
      <c r="R68" s="49">
        <f t="shared" si="111"/>
        <v>1.2356297769333664E-3</v>
      </c>
      <c r="S68" s="190">
        <f>'400'!S68+'404'!S68+'411'!S68+'425'!S68+'426'!S68</f>
        <v>985</v>
      </c>
      <c r="T68" s="49">
        <f t="shared" si="112"/>
        <v>1.2265785157963057E-3</v>
      </c>
      <c r="U68" s="190">
        <f>'400'!U68+'404'!U68+'411'!U68+'425'!U68+'426'!U68</f>
        <v>985</v>
      </c>
      <c r="V68" s="49">
        <f t="shared" si="113"/>
        <v>1.5463545376151414E-3</v>
      </c>
      <c r="W68" s="190">
        <f>'400'!W68+'404'!W68+'411'!W68+'425'!W68+'426'!W68</f>
        <v>985</v>
      </c>
      <c r="X68" s="49">
        <f t="shared" si="114"/>
        <v>1.519846097346494E-3</v>
      </c>
      <c r="Y68" s="190">
        <f>'400'!Y68+'404'!Y68+'411'!Y68+'425'!Y68+'426'!Y68</f>
        <v>985</v>
      </c>
      <c r="Z68" s="49">
        <f t="shared" si="115"/>
        <v>1.0060785311904867E-3</v>
      </c>
      <c r="AA68" s="320">
        <f>'400'!AA68+'404'!AA68+'411'!AA68+'425'!AA68+'426'!AA68</f>
        <v>11820</v>
      </c>
      <c r="AB68" s="108">
        <f t="shared" si="116"/>
        <v>1.2956702059128077E-3</v>
      </c>
      <c r="AC68" s="89">
        <f t="shared" si="117"/>
        <v>985</v>
      </c>
      <c r="AD68" s="92">
        <f t="shared" si="118"/>
        <v>1.2956702059128081E-3</v>
      </c>
      <c r="AE68" s="144"/>
      <c r="AF68" s="64">
        <f t="shared" si="1"/>
        <v>11820</v>
      </c>
      <c r="AG68" s="27" t="e">
        <f>'400'!#REF!+#REF!+#REF!+#REF!+'404'!#REF!+#REF!+#REF!+#REF!+#REF!+#REF!+#REF!</f>
        <v>#REF!</v>
      </c>
      <c r="AH68" s="27" t="e">
        <f t="shared" si="119"/>
        <v>#REF!</v>
      </c>
      <c r="AI68" s="27">
        <f>'400'!AA68+'404'!AA68+'411'!AA68</f>
        <v>7092</v>
      </c>
    </row>
    <row r="69" spans="1:35" s="1" customFormat="1">
      <c r="A69" s="2">
        <v>6129</v>
      </c>
      <c r="B69" s="2" t="s">
        <v>212</v>
      </c>
      <c r="C69" s="190">
        <f>'400'!C69+'404'!C69+'411'!C69+'425'!C69+'426'!C69</f>
        <v>0</v>
      </c>
      <c r="D69" s="49">
        <f t="shared" si="104"/>
        <v>0</v>
      </c>
      <c r="E69" s="190">
        <f>'400'!E69+'404'!E69+'411'!E69+'425'!E69+'426'!E69</f>
        <v>0</v>
      </c>
      <c r="F69" s="49">
        <f t="shared" si="105"/>
        <v>0</v>
      </c>
      <c r="G69" s="190">
        <f>'400'!G69+'404'!G69+'411'!G69+'425'!G69+'426'!G69</f>
        <v>0</v>
      </c>
      <c r="H69" s="49">
        <f t="shared" si="106"/>
        <v>0</v>
      </c>
      <c r="I69" s="190">
        <f>'400'!I69+'404'!I69+'411'!I69+'425'!I69+'426'!I69</f>
        <v>0</v>
      </c>
      <c r="J69" s="49">
        <f t="shared" si="107"/>
        <v>0</v>
      </c>
      <c r="K69" s="190">
        <f>'400'!K69+'404'!K69+'411'!K69+'425'!K69+'426'!K69</f>
        <v>0</v>
      </c>
      <c r="L69" s="49">
        <f t="shared" si="108"/>
        <v>0</v>
      </c>
      <c r="M69" s="190">
        <f>'400'!M69+'404'!M69+'411'!M69+'425'!M69+'426'!M69</f>
        <v>0</v>
      </c>
      <c r="N69" s="49">
        <f t="shared" si="109"/>
        <v>0</v>
      </c>
      <c r="O69" s="190">
        <f>'400'!O69+'404'!O69+'411'!O69+'425'!O69+'426'!O69</f>
        <v>0</v>
      </c>
      <c r="P69" s="49">
        <f t="shared" si="110"/>
        <v>0</v>
      </c>
      <c r="Q69" s="190">
        <f>'400'!Q69+'404'!Q69+'411'!Q69+'425'!Q69+'426'!Q69</f>
        <v>0</v>
      </c>
      <c r="R69" s="49">
        <f t="shared" si="111"/>
        <v>0</v>
      </c>
      <c r="S69" s="190">
        <f>'400'!S69+'404'!S69+'411'!S69+'425'!S69+'426'!S69</f>
        <v>0</v>
      </c>
      <c r="T69" s="49">
        <f t="shared" si="112"/>
        <v>0</v>
      </c>
      <c r="U69" s="190">
        <f>'400'!U69+'404'!U69+'411'!U69+'425'!U69+'426'!U69</f>
        <v>0</v>
      </c>
      <c r="V69" s="49">
        <f t="shared" si="113"/>
        <v>0</v>
      </c>
      <c r="W69" s="190">
        <f>'400'!W69+'404'!W69+'411'!W69+'425'!W69+'426'!W69</f>
        <v>0</v>
      </c>
      <c r="X69" s="49">
        <f t="shared" si="114"/>
        <v>0</v>
      </c>
      <c r="Y69" s="190">
        <f>'400'!Y69+'404'!Y69+'411'!Y69+'425'!Y69+'426'!Y69</f>
        <v>0</v>
      </c>
      <c r="Z69" s="49">
        <f t="shared" si="115"/>
        <v>0</v>
      </c>
      <c r="AA69" s="320">
        <f>'400'!AA69+'404'!AA69+'411'!AA69+'425'!AA69+'426'!AA69</f>
        <v>0</v>
      </c>
      <c r="AB69" s="108">
        <f t="shared" si="116"/>
        <v>0</v>
      </c>
      <c r="AC69" s="89">
        <f t="shared" si="117"/>
        <v>0</v>
      </c>
      <c r="AD69" s="92">
        <f t="shared" si="118"/>
        <v>0</v>
      </c>
      <c r="AE69" s="144"/>
      <c r="AF69" s="64">
        <f t="shared" si="1"/>
        <v>0</v>
      </c>
      <c r="AG69" s="27" t="e">
        <f>'400'!#REF!+#REF!+#REF!+#REF!+'404'!#REF!+#REF!+#REF!+#REF!+#REF!+#REF!+#REF!</f>
        <v>#REF!</v>
      </c>
      <c r="AH69" s="27" t="e">
        <f t="shared" si="119"/>
        <v>#REF!</v>
      </c>
      <c r="AI69" s="27">
        <f>'400'!AA69+'404'!AA69+'411'!AA69</f>
        <v>0</v>
      </c>
    </row>
    <row r="70" spans="1:35" s="289" customFormat="1">
      <c r="A70" s="2">
        <v>6131</v>
      </c>
      <c r="B70" s="2" t="s">
        <v>224</v>
      </c>
      <c r="C70" s="190">
        <f>'400'!C70+'404'!C70+'411'!C70+'425'!C70+'426'!C70</f>
        <v>524</v>
      </c>
      <c r="D70" s="49">
        <f t="shared" si="104"/>
        <v>7.6370255825782538E-4</v>
      </c>
      <c r="E70" s="190">
        <f>'400'!E70+'404'!E70+'411'!E70+'425'!E70+'426'!E70</f>
        <v>524</v>
      </c>
      <c r="F70" s="49">
        <f t="shared" si="105"/>
        <v>9.8162158961689222E-4</v>
      </c>
      <c r="G70" s="190">
        <f>'400'!G70+'404'!G70+'411'!G70+'425'!G70+'426'!G70</f>
        <v>524</v>
      </c>
      <c r="H70" s="49">
        <f t="shared" si="106"/>
        <v>5.9177313750631306E-4</v>
      </c>
      <c r="I70" s="190">
        <f>'400'!I70+'404'!I70+'411'!I70+'425'!I70+'426'!I70</f>
        <v>524</v>
      </c>
      <c r="J70" s="49">
        <f t="shared" si="107"/>
        <v>6.7018910560981708E-4</v>
      </c>
      <c r="K70" s="190">
        <f>'400'!K70+'404'!K70+'411'!K70+'425'!K70+'426'!K70</f>
        <v>524</v>
      </c>
      <c r="L70" s="49">
        <f t="shared" si="108"/>
        <v>7.3276594653144829E-4</v>
      </c>
      <c r="M70" s="190">
        <f>'400'!M70+'404'!M70+'411'!M70+'425'!M70+'426'!M70</f>
        <v>524</v>
      </c>
      <c r="N70" s="49">
        <f t="shared" si="109"/>
        <v>5.1676523360972225E-4</v>
      </c>
      <c r="O70" s="190">
        <f>'400'!O70+'404'!O70+'411'!O70+'425'!O70+'426'!O70</f>
        <v>524</v>
      </c>
      <c r="P70" s="49">
        <f t="shared" si="110"/>
        <v>8.1623226339108538E-4</v>
      </c>
      <c r="Q70" s="190">
        <f>'400'!Q70+'404'!Q70+'411'!Q70+'425'!Q70+'426'!Q70</f>
        <v>524</v>
      </c>
      <c r="R70" s="49">
        <f t="shared" si="111"/>
        <v>6.5732995239906999E-4</v>
      </c>
      <c r="S70" s="190">
        <f>'400'!S70+'404'!S70+'411'!S70+'425'!S70+'426'!S70</f>
        <v>524</v>
      </c>
      <c r="T70" s="49">
        <f t="shared" si="112"/>
        <v>6.5251486525610568E-4</v>
      </c>
      <c r="U70" s="190">
        <f>'400'!U70+'404'!U70+'411'!U70+'425'!U70+'426'!U70</f>
        <v>524</v>
      </c>
      <c r="V70" s="49">
        <f t="shared" si="113"/>
        <v>8.2262921594957773E-4</v>
      </c>
      <c r="W70" s="190">
        <f>'400'!W70+'404'!W70+'411'!W70+'425'!W70+'426'!W70</f>
        <v>524</v>
      </c>
      <c r="X70" s="49">
        <f t="shared" si="114"/>
        <v>8.0852726396909926E-4</v>
      </c>
      <c r="Y70" s="190">
        <f>'400'!Y70+'404'!Y70+'411'!Y70+'425'!Y70+'426'!Y70</f>
        <v>524</v>
      </c>
      <c r="Z70" s="49">
        <f t="shared" si="115"/>
        <v>5.3521335060285782E-4</v>
      </c>
      <c r="AA70" s="320">
        <f>'400'!AA70+'404'!AA70+'411'!AA70+'425'!AA70+'426'!AA70</f>
        <v>6288</v>
      </c>
      <c r="AB70" s="108">
        <f t="shared" si="116"/>
        <v>6.8927024152112826E-4</v>
      </c>
      <c r="AC70" s="89">
        <f t="shared" si="117"/>
        <v>524</v>
      </c>
      <c r="AD70" s="92">
        <f t="shared" si="118"/>
        <v>6.8927024152112837E-4</v>
      </c>
      <c r="AE70" s="144"/>
      <c r="AF70" s="64"/>
      <c r="AG70" s="27"/>
      <c r="AH70" s="27"/>
      <c r="AI70" s="27"/>
    </row>
    <row r="71" spans="1:35" s="289" customFormat="1">
      <c r="A71" s="2">
        <v>6132</v>
      </c>
      <c r="B71" s="2" t="s">
        <v>225</v>
      </c>
      <c r="C71" s="190">
        <f>'400'!C71+'404'!C71+'411'!C71+'425'!C71+'426'!C71</f>
        <v>45</v>
      </c>
      <c r="D71" s="49">
        <f t="shared" si="104"/>
        <v>6.5585143361836145E-5</v>
      </c>
      <c r="E71" s="190">
        <f>'400'!E71+'404'!E71+'411'!E71+'425'!E71+'426'!E71</f>
        <v>45</v>
      </c>
      <c r="F71" s="49">
        <f t="shared" si="105"/>
        <v>8.429956399381709E-5</v>
      </c>
      <c r="G71" s="190">
        <f>'400'!G71+'404'!G71+'411'!G71+'425'!G71+'426'!G71</f>
        <v>45</v>
      </c>
      <c r="H71" s="49">
        <f t="shared" si="106"/>
        <v>5.0820212190427648E-5</v>
      </c>
      <c r="I71" s="190">
        <f>'400'!I71+'404'!I71+'411'!I71+'425'!I71+'426'!I71</f>
        <v>45</v>
      </c>
      <c r="J71" s="49">
        <f t="shared" si="107"/>
        <v>5.7554407924507187E-5</v>
      </c>
      <c r="K71" s="190">
        <f>'400'!K71+'404'!K71+'411'!K71+'425'!K71+'426'!K71</f>
        <v>45</v>
      </c>
      <c r="L71" s="49">
        <f t="shared" si="108"/>
        <v>6.2928373270830482E-5</v>
      </c>
      <c r="M71" s="190">
        <f>'400'!M71+'404'!M71+'411'!M71+'425'!M71+'426'!M71</f>
        <v>45</v>
      </c>
      <c r="N71" s="49">
        <f t="shared" si="109"/>
        <v>4.4378693726025763E-5</v>
      </c>
      <c r="O71" s="190">
        <f>'400'!O71+'404'!O71+'411'!O71+'425'!O71+'426'!O71</f>
        <v>45</v>
      </c>
      <c r="P71" s="49">
        <f t="shared" si="110"/>
        <v>7.0096282161448179E-5</v>
      </c>
      <c r="Q71" s="190">
        <f>'400'!Q71+'404'!Q71+'411'!Q71+'425'!Q71+'426'!Q71</f>
        <v>45</v>
      </c>
      <c r="R71" s="49">
        <f t="shared" si="111"/>
        <v>5.64500913319812E-5</v>
      </c>
      <c r="S71" s="190">
        <f>'400'!S71+'404'!S71+'411'!S71+'425'!S71+'426'!S71</f>
        <v>45</v>
      </c>
      <c r="T71" s="49">
        <f t="shared" si="112"/>
        <v>5.6036581939932742E-5</v>
      </c>
      <c r="U71" s="190">
        <f>'400'!U71+'404'!U71+'411'!U71+'425'!U71+'426'!U71</f>
        <v>45</v>
      </c>
      <c r="V71" s="49">
        <f t="shared" si="113"/>
        <v>7.0645638774295799E-5</v>
      </c>
      <c r="W71" s="190">
        <f>'400'!W71+'404'!W71+'411'!W71+'425'!W71+'426'!W71</f>
        <v>45</v>
      </c>
      <c r="X71" s="49">
        <f t="shared" si="114"/>
        <v>6.9434593279789065E-5</v>
      </c>
      <c r="Y71" s="190">
        <f>'400'!Y71+'404'!Y71+'411'!Y71+'425'!Y71+'426'!Y71</f>
        <v>45</v>
      </c>
      <c r="Z71" s="49">
        <f t="shared" si="115"/>
        <v>4.5962978582306494E-5</v>
      </c>
      <c r="AA71" s="320">
        <f>'400'!AA71+'404'!AA71+'411'!AA71+'425'!AA71+'426'!AA71</f>
        <v>540</v>
      </c>
      <c r="AB71" s="108">
        <f t="shared" si="116"/>
        <v>5.91930550924633E-5</v>
      </c>
      <c r="AC71" s="89">
        <f t="shared" si="117"/>
        <v>45</v>
      </c>
      <c r="AD71" s="92">
        <f t="shared" si="118"/>
        <v>5.9193055092463314E-5</v>
      </c>
      <c r="AE71" s="144"/>
      <c r="AF71" s="64"/>
      <c r="AG71" s="27"/>
      <c r="AH71" s="27"/>
      <c r="AI71" s="27"/>
    </row>
    <row r="72" spans="1:35" s="289" customFormat="1">
      <c r="A72" s="2">
        <v>6133</v>
      </c>
      <c r="B72" s="2" t="s">
        <v>226</v>
      </c>
      <c r="C72" s="190">
        <f>'400'!C72+'404'!C72+'411'!C72+'425'!C72+'426'!C72</f>
        <v>125</v>
      </c>
      <c r="D72" s="49">
        <f t="shared" si="104"/>
        <v>1.8218095378287819E-4</v>
      </c>
      <c r="E72" s="190">
        <f>'400'!E72+'404'!E72+'411'!E72+'425'!E72+'426'!E72</f>
        <v>125</v>
      </c>
      <c r="F72" s="49">
        <f t="shared" si="105"/>
        <v>2.341654555383808E-4</v>
      </c>
      <c r="G72" s="190">
        <f>'400'!G72+'404'!G72+'411'!G72+'425'!G72+'426'!G72</f>
        <v>125</v>
      </c>
      <c r="H72" s="49">
        <f t="shared" si="106"/>
        <v>1.4116725608452125E-4</v>
      </c>
      <c r="I72" s="190">
        <f>'400'!I72+'404'!I72+'411'!I72+'425'!I72+'426'!I72</f>
        <v>125</v>
      </c>
      <c r="J72" s="49">
        <f t="shared" si="107"/>
        <v>1.5987335534585329E-4</v>
      </c>
      <c r="K72" s="190">
        <f>'400'!K72+'404'!K72+'411'!K72+'425'!K72+'426'!K72</f>
        <v>125</v>
      </c>
      <c r="L72" s="49">
        <f t="shared" si="108"/>
        <v>1.7480103686341801E-4</v>
      </c>
      <c r="M72" s="190">
        <f>'400'!M72+'404'!M72+'411'!M72+'425'!M72+'426'!M72</f>
        <v>125</v>
      </c>
      <c r="N72" s="49">
        <f t="shared" si="109"/>
        <v>1.2327414923896045E-4</v>
      </c>
      <c r="O72" s="190">
        <f>'400'!O72+'404'!O72+'411'!O72+'425'!O72+'426'!O72</f>
        <v>125</v>
      </c>
      <c r="P72" s="49">
        <f t="shared" si="110"/>
        <v>1.9471189489291159E-4</v>
      </c>
      <c r="Q72" s="190">
        <f>'400'!Q72+'404'!Q72+'411'!Q72+'425'!Q72+'426'!Q72</f>
        <v>125</v>
      </c>
      <c r="R72" s="49">
        <f t="shared" si="111"/>
        <v>1.5680580925550333E-4</v>
      </c>
      <c r="S72" s="190">
        <f>'400'!S72+'404'!S72+'411'!S72+'425'!S72+'426'!S72</f>
        <v>125</v>
      </c>
      <c r="T72" s="49">
        <f t="shared" si="112"/>
        <v>1.5565717205536872E-4</v>
      </c>
      <c r="U72" s="190">
        <f>'400'!U72+'404'!U72+'411'!U72+'425'!U72+'426'!U72</f>
        <v>125</v>
      </c>
      <c r="V72" s="49">
        <f t="shared" si="113"/>
        <v>1.9623788548415498E-4</v>
      </c>
      <c r="W72" s="190">
        <f>'400'!W72+'404'!W72+'411'!W72+'425'!W72+'426'!W72</f>
        <v>125</v>
      </c>
      <c r="X72" s="49">
        <f t="shared" si="114"/>
        <v>1.928738702216363E-4</v>
      </c>
      <c r="Y72" s="190">
        <f>'400'!Y72+'404'!Y72+'411'!Y72+'425'!Y72+'426'!Y72</f>
        <v>125</v>
      </c>
      <c r="Z72" s="49">
        <f t="shared" si="115"/>
        <v>1.2767494050640692E-4</v>
      </c>
      <c r="AA72" s="320">
        <f>'400'!AA72+'404'!AA72+'411'!AA72+'425'!AA72+'426'!AA72</f>
        <v>1500</v>
      </c>
      <c r="AB72" s="108">
        <f t="shared" si="116"/>
        <v>1.6442515303462027E-4</v>
      </c>
      <c r="AC72" s="89">
        <f t="shared" si="117"/>
        <v>125</v>
      </c>
      <c r="AD72" s="92">
        <f t="shared" si="118"/>
        <v>1.6442515303462032E-4</v>
      </c>
      <c r="AE72" s="144"/>
      <c r="AF72" s="64"/>
      <c r="AG72" s="27"/>
      <c r="AH72" s="27"/>
      <c r="AI72" s="27"/>
    </row>
    <row r="73" spans="1:35" s="289" customFormat="1">
      <c r="A73" s="2">
        <v>6134</v>
      </c>
      <c r="B73" s="2" t="s">
        <v>227</v>
      </c>
      <c r="C73" s="190">
        <f>'400'!C73+'404'!C73+'411'!C73+'425'!C73+'426'!C73</f>
        <v>49.930000000000007</v>
      </c>
      <c r="D73" s="49">
        <f t="shared" si="104"/>
        <v>7.2770360179032876E-5</v>
      </c>
      <c r="E73" s="190">
        <f>'400'!E73+'404'!E73+'411'!E73+'425'!E73+'426'!E73</f>
        <v>49.930000000000007</v>
      </c>
      <c r="F73" s="49">
        <f t="shared" si="105"/>
        <v>9.3535049560250833E-5</v>
      </c>
      <c r="G73" s="190">
        <f>'400'!G73+'404'!G73+'411'!G73+'425'!G73+'426'!G73</f>
        <v>49.930000000000007</v>
      </c>
      <c r="H73" s="49">
        <f t="shared" si="106"/>
        <v>5.6387848770401172E-5</v>
      </c>
      <c r="I73" s="190">
        <f>'400'!I73+'404'!I73+'411'!I73+'425'!I73+'426'!I73</f>
        <v>49.930000000000007</v>
      </c>
      <c r="J73" s="49">
        <f t="shared" si="107"/>
        <v>6.3859813059347658E-5</v>
      </c>
      <c r="K73" s="190">
        <f>'400'!K73+'404'!K73+'411'!K73+'425'!K73+'426'!K73</f>
        <v>49.930000000000007</v>
      </c>
      <c r="L73" s="49">
        <f t="shared" si="108"/>
        <v>6.9822526164723699E-5</v>
      </c>
      <c r="M73" s="190">
        <f>'400'!M73+'404'!M73+'411'!M73+'425'!M73+'426'!M73</f>
        <v>49.930000000000007</v>
      </c>
      <c r="N73" s="49">
        <f t="shared" si="109"/>
        <v>4.9240626172010371E-5</v>
      </c>
      <c r="O73" s="190">
        <f>'400'!O73+'404'!O73+'411'!O73+'425'!O73+'426'!O73</f>
        <v>49.930000000000007</v>
      </c>
      <c r="P73" s="49">
        <f t="shared" si="110"/>
        <v>7.7775719296024618E-5</v>
      </c>
      <c r="Q73" s="190">
        <f>'400'!Q73+'404'!Q73+'411'!Q73+'425'!Q73+'426'!Q73</f>
        <v>49.930000000000007</v>
      </c>
      <c r="R73" s="49">
        <f t="shared" si="111"/>
        <v>6.2634512449018262E-5</v>
      </c>
      <c r="S73" s="190">
        <f>'400'!S73+'404'!S73+'411'!S73+'425'!S73+'426'!S73</f>
        <v>49.930000000000007</v>
      </c>
      <c r="T73" s="49">
        <f t="shared" si="112"/>
        <v>6.2175700805796498E-5</v>
      </c>
      <c r="U73" s="190">
        <f>'400'!U73+'404'!U73+'411'!U73+'425'!U73+'426'!U73</f>
        <v>49.930000000000007</v>
      </c>
      <c r="V73" s="49">
        <f t="shared" si="113"/>
        <v>7.8385260977790881E-5</v>
      </c>
      <c r="W73" s="190">
        <f>'400'!W73+'404'!W73+'411'!W73+'425'!W73+'426'!W73</f>
        <v>49.930000000000007</v>
      </c>
      <c r="X73" s="49">
        <f t="shared" si="114"/>
        <v>7.7041538721330413E-5</v>
      </c>
      <c r="Y73" s="190">
        <f>'400'!Y73+'404'!Y73+'411'!Y73+'425'!Y73+'426'!Y73</f>
        <v>49.930000000000007</v>
      </c>
      <c r="Z73" s="49">
        <f t="shared" si="115"/>
        <v>5.099847823587919E-5</v>
      </c>
      <c r="AA73" s="320">
        <f>'400'!AA73+'404'!AA73+'411'!AA73+'425'!AA73+'426'!AA73</f>
        <v>599.1600000000002</v>
      </c>
      <c r="AB73" s="108">
        <f t="shared" si="116"/>
        <v>6.5677983128148743E-5</v>
      </c>
      <c r="AC73" s="89">
        <f t="shared" si="117"/>
        <v>49.930000000000014</v>
      </c>
      <c r="AD73" s="92">
        <f t="shared" si="118"/>
        <v>6.5677983128148757E-5</v>
      </c>
      <c r="AE73" s="144"/>
      <c r="AF73" s="64"/>
      <c r="AG73" s="27"/>
      <c r="AH73" s="27"/>
      <c r="AI73" s="27"/>
    </row>
    <row r="74" spans="1:35" s="289" customFormat="1">
      <c r="A74" s="2">
        <v>6135</v>
      </c>
      <c r="B74" s="2" t="s">
        <v>228</v>
      </c>
      <c r="C74" s="190">
        <f>'400'!C74+'404'!C74+'411'!C74+'425'!C74+'426'!C74</f>
        <v>0</v>
      </c>
      <c r="D74" s="49">
        <f t="shared" si="104"/>
        <v>0</v>
      </c>
      <c r="E74" s="190">
        <f>'400'!E74+'404'!E74+'411'!E74+'425'!E74+'426'!E74</f>
        <v>0</v>
      </c>
      <c r="F74" s="49">
        <f t="shared" si="105"/>
        <v>0</v>
      </c>
      <c r="G74" s="190">
        <f>'400'!G74+'404'!G74+'411'!G74+'425'!G74+'426'!G74</f>
        <v>0</v>
      </c>
      <c r="H74" s="49">
        <f t="shared" si="106"/>
        <v>0</v>
      </c>
      <c r="I74" s="190">
        <f>'400'!I74+'404'!I74+'411'!I74+'425'!I74+'426'!I74</f>
        <v>0</v>
      </c>
      <c r="J74" s="49">
        <f t="shared" si="107"/>
        <v>0</v>
      </c>
      <c r="K74" s="190">
        <f>'400'!K74+'404'!K74+'411'!K74+'425'!K74+'426'!K74</f>
        <v>0</v>
      </c>
      <c r="L74" s="49">
        <f t="shared" si="108"/>
        <v>0</v>
      </c>
      <c r="M74" s="190">
        <f>'400'!M74+'404'!M74+'411'!M74+'425'!M74+'426'!M74</f>
        <v>0</v>
      </c>
      <c r="N74" s="49">
        <f t="shared" si="109"/>
        <v>0</v>
      </c>
      <c r="O74" s="190">
        <f>'400'!O74+'404'!O74+'411'!O74+'425'!O74+'426'!O74</f>
        <v>0</v>
      </c>
      <c r="P74" s="49">
        <f t="shared" si="110"/>
        <v>0</v>
      </c>
      <c r="Q74" s="190">
        <f>'400'!Q74+'404'!Q74+'411'!Q74+'425'!Q74+'426'!Q74</f>
        <v>0</v>
      </c>
      <c r="R74" s="49">
        <f t="shared" si="111"/>
        <v>0</v>
      </c>
      <c r="S74" s="190">
        <f>'400'!S74+'404'!S74+'411'!S74+'425'!S74+'426'!S74</f>
        <v>0</v>
      </c>
      <c r="T74" s="49">
        <f t="shared" si="112"/>
        <v>0</v>
      </c>
      <c r="U74" s="190">
        <f>'400'!U74+'404'!U74+'411'!U74+'425'!U74+'426'!U74</f>
        <v>0</v>
      </c>
      <c r="V74" s="49">
        <f t="shared" si="113"/>
        <v>0</v>
      </c>
      <c r="W74" s="190">
        <f>'400'!W74+'404'!W74+'411'!W74+'425'!W74+'426'!W74</f>
        <v>0</v>
      </c>
      <c r="X74" s="49">
        <f t="shared" si="114"/>
        <v>0</v>
      </c>
      <c r="Y74" s="190">
        <f>'400'!Y74+'404'!Y74+'411'!Y74+'425'!Y74+'426'!Y74</f>
        <v>0</v>
      </c>
      <c r="Z74" s="49">
        <f t="shared" si="115"/>
        <v>0</v>
      </c>
      <c r="AA74" s="320">
        <f>'400'!AA74+'404'!AA74+'411'!AA74+'425'!AA74+'426'!AA74</f>
        <v>0</v>
      </c>
      <c r="AB74" s="108">
        <f t="shared" si="116"/>
        <v>0</v>
      </c>
      <c r="AC74" s="89">
        <f t="shared" si="117"/>
        <v>0</v>
      </c>
      <c r="AD74" s="92">
        <f t="shared" si="118"/>
        <v>0</v>
      </c>
      <c r="AE74" s="144"/>
      <c r="AF74" s="64"/>
      <c r="AG74" s="27"/>
      <c r="AH74" s="27"/>
      <c r="AI74" s="27"/>
    </row>
    <row r="75" spans="1:35" s="289" customFormat="1">
      <c r="A75" s="2">
        <v>6136</v>
      </c>
      <c r="B75" s="2" t="s">
        <v>249</v>
      </c>
      <c r="C75" s="190">
        <f>'400'!C75+'404'!C75+'411'!C75+'425'!C75+'426'!C75</f>
        <v>147.5</v>
      </c>
      <c r="D75" s="49">
        <f t="shared" si="104"/>
        <v>2.1497352546379628E-4</v>
      </c>
      <c r="E75" s="190">
        <f>'400'!E75+'404'!E75+'411'!E75+'425'!E75+'426'!E75</f>
        <v>147.5</v>
      </c>
      <c r="F75" s="49">
        <f t="shared" si="105"/>
        <v>2.7631523753528936E-4</v>
      </c>
      <c r="G75" s="190">
        <f>'400'!G75+'404'!G75+'411'!G75+'425'!G75+'426'!G75</f>
        <v>147.5</v>
      </c>
      <c r="H75" s="49">
        <f t="shared" si="106"/>
        <v>1.6657736217973507E-4</v>
      </c>
      <c r="I75" s="190">
        <f>'400'!I75+'404'!I75+'411'!I75+'425'!I75+'426'!I75</f>
        <v>147.5</v>
      </c>
      <c r="J75" s="49">
        <f t="shared" si="107"/>
        <v>1.8865055930810689E-4</v>
      </c>
      <c r="K75" s="190">
        <f>'400'!K75+'404'!K75+'411'!K75+'425'!K75+'426'!K75</f>
        <v>147.5</v>
      </c>
      <c r="L75" s="49">
        <f t="shared" si="108"/>
        <v>2.0626522349883326E-4</v>
      </c>
      <c r="M75" s="190">
        <f>'400'!M75+'404'!M75+'411'!M75+'425'!M75+'426'!M75</f>
        <v>147.5</v>
      </c>
      <c r="N75" s="49">
        <f t="shared" si="109"/>
        <v>1.4546349610197333E-4</v>
      </c>
      <c r="O75" s="190">
        <f>'400'!O75+'404'!O75+'411'!O75+'425'!O75+'426'!O75</f>
        <v>147.5</v>
      </c>
      <c r="P75" s="49">
        <f t="shared" si="110"/>
        <v>2.2976003597363569E-4</v>
      </c>
      <c r="Q75" s="190">
        <f>'400'!Q75+'404'!Q75+'411'!Q75+'425'!Q75+'426'!Q75</f>
        <v>147.5</v>
      </c>
      <c r="R75" s="49">
        <f t="shared" si="111"/>
        <v>1.8503085492149393E-4</v>
      </c>
      <c r="S75" s="190">
        <f>'400'!S75+'404'!S75+'411'!S75+'425'!S75+'426'!S75</f>
        <v>147.5</v>
      </c>
      <c r="T75" s="49">
        <f t="shared" si="112"/>
        <v>1.8367546302533509E-4</v>
      </c>
      <c r="U75" s="190">
        <f>'400'!U75+'404'!U75+'411'!U75+'425'!U75+'426'!U75</f>
        <v>147.5</v>
      </c>
      <c r="V75" s="49">
        <f t="shared" si="113"/>
        <v>2.3156070487130289E-4</v>
      </c>
      <c r="W75" s="190">
        <f>'400'!W75+'404'!W75+'411'!W75+'425'!W75+'426'!W75</f>
        <v>147.5</v>
      </c>
      <c r="X75" s="49">
        <f t="shared" si="114"/>
        <v>2.275911668615308E-4</v>
      </c>
      <c r="Y75" s="190">
        <f>'400'!Y75+'404'!Y75+'411'!Y75+'425'!Y75+'426'!Y75</f>
        <v>147.5</v>
      </c>
      <c r="Z75" s="49">
        <f t="shared" si="115"/>
        <v>1.5065642979756019E-4</v>
      </c>
      <c r="AA75" s="320">
        <f>'400'!AA75+'404'!AA75+'411'!AA75+'425'!AA75+'426'!AA75</f>
        <v>1770</v>
      </c>
      <c r="AB75" s="108">
        <f t="shared" si="116"/>
        <v>1.9402168058085193E-4</v>
      </c>
      <c r="AC75" s="89">
        <f t="shared" si="117"/>
        <v>147.5</v>
      </c>
      <c r="AD75" s="92">
        <f t="shared" si="118"/>
        <v>1.9402168058085196E-4</v>
      </c>
      <c r="AE75" s="144"/>
      <c r="AF75" s="64"/>
      <c r="AG75" s="27"/>
      <c r="AH75" s="27"/>
      <c r="AI75" s="27"/>
    </row>
    <row r="76" spans="1:35" customFormat="1" ht="15.75" thickBot="1">
      <c r="A76" s="235">
        <v>6199</v>
      </c>
      <c r="B76" s="235" t="s">
        <v>23</v>
      </c>
      <c r="C76" s="236">
        <f>'400'!C76+'404'!C76+'411'!C76+'425'!C76+'426'!C76</f>
        <v>172610.73799999998</v>
      </c>
      <c r="D76" s="237">
        <f t="shared" ref="D76:D77" si="120">C76/C$12</f>
        <v>0.25157111105605195</v>
      </c>
      <c r="E76" s="236">
        <f>'400'!E76+'404'!E76+'411'!E76+'425'!E76+'426'!E76</f>
        <v>173171.54592870851</v>
      </c>
      <c r="F76" s="237">
        <f t="shared" ref="F76:F77" si="121">E76/E$12</f>
        <v>0.32440635150945329</v>
      </c>
      <c r="G76" s="236">
        <f>'400'!G76+'404'!G76+'411'!G76+'425'!G76+'426'!G76</f>
        <v>172821.15734999999</v>
      </c>
      <c r="H76" s="237">
        <f t="shared" ref="H76:H77" si="122">G76/G$12</f>
        <v>0.19517350861160632</v>
      </c>
      <c r="I76" s="236">
        <f>'400'!I76+'404'!I76+'411'!I76+'425'!I76+'426'!I76</f>
        <v>174277.72405962792</v>
      </c>
      <c r="J76" s="237">
        <f t="shared" ref="J76:J77" si="123">I76/I$12</f>
        <v>0.22289891605961171</v>
      </c>
      <c r="K76" s="236">
        <f>'400'!K76+'404'!K76+'411'!K76+'425'!K76+'426'!K76</f>
        <v>174500.23301449997</v>
      </c>
      <c r="L76" s="237">
        <f t="shared" ref="L76:L77" si="124">K76/K$12</f>
        <v>0.24402257331074112</v>
      </c>
      <c r="M76" s="236">
        <f>'400'!M76+'404'!M76+'411'!M76+'425'!M76+'426'!M76</f>
        <v>194881.3464223606</v>
      </c>
      <c r="N76" s="237">
        <f t="shared" ref="N76:N77" si="125">M76/M$12</f>
        <v>0.19219065746207706</v>
      </c>
      <c r="O76" s="236">
        <f>'400'!O76+'404'!O76+'411'!O76+'425'!O76+'426'!O76</f>
        <v>198580.27777324917</v>
      </c>
      <c r="P76" s="237">
        <f t="shared" ref="P76:P77" si="126">O76/O$12</f>
        <v>0.30932753738872065</v>
      </c>
      <c r="Q76" s="236">
        <f>'400'!Q76+'404'!Q76+'411'!Q76+'425'!Q76+'426'!Q76</f>
        <v>201679.14941038529</v>
      </c>
      <c r="R76" s="237">
        <f t="shared" ref="R76:R77" si="127">Q76/Q$12</f>
        <v>0.2529956978660563</v>
      </c>
      <c r="S76" s="236">
        <f>'400'!S76+'404'!S76+'411'!S76+'425'!S76+'426'!S76</f>
        <v>205329.97531193684</v>
      </c>
      <c r="T76" s="237">
        <f t="shared" ref="T76:T77" si="128">S76/S$12</f>
        <v>0.25568866636203813</v>
      </c>
      <c r="U76" s="236">
        <f>'400'!U76+'404'!U76+'411'!U76+'425'!U76+'426'!U76</f>
        <v>199450.54699166436</v>
      </c>
      <c r="V76" s="237">
        <f t="shared" ref="V76:V77" si="129">U76/U$12</f>
        <v>0.31311802880241846</v>
      </c>
      <c r="W76" s="236">
        <f>'400'!W76+'404'!W76+'411'!W76+'425'!W76+'426'!W76</f>
        <v>199108.08683565282</v>
      </c>
      <c r="X76" s="237">
        <f t="shared" ref="X76:X77" si="130">W76/W$12</f>
        <v>0.30722197840334392</v>
      </c>
      <c r="Y76" s="236">
        <f>'400'!Y76+'404'!Y76+'411'!Y76+'425'!Y76+'426'!Y76</f>
        <v>199444.56598144665</v>
      </c>
      <c r="Z76" s="237">
        <f t="shared" ref="Z76:Z77" si="131">Y76/Y$12</f>
        <v>0.20371258476805881</v>
      </c>
      <c r="AA76" s="236">
        <f>'400'!AA76+'404'!AA76+'411'!AA76+'425'!AA76+'426'!AA76</f>
        <v>2265855.3470795313</v>
      </c>
      <c r="AB76" s="237">
        <f t="shared" ref="AB76:AB77" si="132">AA76/AA$12</f>
        <v>0.24837574146524305</v>
      </c>
      <c r="AC76" s="236">
        <f>SUM(AC42:AC75)</f>
        <v>188821.2789232943</v>
      </c>
      <c r="AD76" s="237">
        <f t="shared" ref="AD76:AD77" si="133">AC76/AC$12</f>
        <v>0.24837574146524313</v>
      </c>
      <c r="AE76" s="144"/>
      <c r="AF76" s="64">
        <f t="shared" ref="AF76:AF149" si="134">C76+E76+G76+I76+K76+M76+O76+Q76+S76+U76+W76+Y76</f>
        <v>2265855.3470795322</v>
      </c>
      <c r="AG76" s="27" t="e">
        <f>'400'!#REF!+#REF!+#REF!+#REF!+'404'!#REF!+#REF!+#REF!+#REF!+#REF!+#REF!+#REF!</f>
        <v>#REF!</v>
      </c>
      <c r="AH76" s="27" t="e">
        <f t="shared" si="119"/>
        <v>#REF!</v>
      </c>
      <c r="AI76" s="27">
        <f>'400'!AA76+'404'!AA76+'411'!AA76</f>
        <v>1492525.1430795318</v>
      </c>
    </row>
    <row r="77" spans="1:35" customFormat="1" ht="15.75" thickTop="1">
      <c r="A77" s="2">
        <v>6201</v>
      </c>
      <c r="B77" s="2" t="s">
        <v>24</v>
      </c>
      <c r="C77" s="190">
        <f>'400'!C77+'404'!C77+'411'!C77+'425'!C77+'426'!C77</f>
        <v>35415</v>
      </c>
      <c r="D77" s="49">
        <f t="shared" si="120"/>
        <v>5.1615507825765052E-2</v>
      </c>
      <c r="E77" s="190">
        <f>'400'!E77+'404'!E77+'411'!E77+'425'!E77+'426'!E77</f>
        <v>35415</v>
      </c>
      <c r="F77" s="49">
        <f t="shared" si="121"/>
        <v>6.634375686313404E-2</v>
      </c>
      <c r="G77" s="190">
        <f>'400'!G77+'404'!G77+'411'!G77+'425'!G77+'426'!G77</f>
        <v>35415</v>
      </c>
      <c r="H77" s="49">
        <f t="shared" si="122"/>
        <v>3.9995506993866559E-2</v>
      </c>
      <c r="I77" s="190">
        <f>'400'!I77+'404'!I77+'411'!I77+'425'!I77+'426'!I77</f>
        <v>35415</v>
      </c>
      <c r="J77" s="49">
        <f t="shared" si="123"/>
        <v>4.5295319036587157E-2</v>
      </c>
      <c r="K77" s="190">
        <f>'400'!K77+'404'!K77+'411'!K77+'425'!K77+'426'!K77</f>
        <v>35415</v>
      </c>
      <c r="L77" s="49">
        <f t="shared" si="124"/>
        <v>4.9524629764143589E-2</v>
      </c>
      <c r="M77" s="190">
        <f>'400'!M77+'404'!M77+'411'!M77+'425'!M77+'426'!M77</f>
        <v>35415</v>
      </c>
      <c r="N77" s="49">
        <f t="shared" si="125"/>
        <v>3.4926031962382274E-2</v>
      </c>
      <c r="O77" s="190">
        <f>'400'!O77+'404'!O77+'411'!O77+'425'!O77+'426'!O77</f>
        <v>35415</v>
      </c>
      <c r="P77" s="49">
        <f t="shared" si="126"/>
        <v>5.5165774061059714E-2</v>
      </c>
      <c r="Q77" s="190">
        <f>'400'!Q77+'404'!Q77+'411'!Q77+'425'!Q77+'426'!Q77</f>
        <v>35415</v>
      </c>
      <c r="R77" s="49">
        <f t="shared" si="127"/>
        <v>4.4426221878269209E-2</v>
      </c>
      <c r="S77" s="190">
        <f>'400'!S77+'404'!S77+'411'!S77+'425'!S77+'426'!S77</f>
        <v>35415</v>
      </c>
      <c r="T77" s="49">
        <f t="shared" si="128"/>
        <v>4.4100789986727069E-2</v>
      </c>
      <c r="U77" s="190">
        <f>'400'!U77+'404'!U77+'411'!U77+'425'!U77+'426'!U77</f>
        <v>35415</v>
      </c>
      <c r="V77" s="49">
        <f t="shared" si="129"/>
        <v>5.5598117715370793E-2</v>
      </c>
      <c r="W77" s="190">
        <f>'400'!W77+'404'!W77+'411'!W77+'425'!W77+'426'!W77</f>
        <v>35415</v>
      </c>
      <c r="X77" s="49">
        <f t="shared" si="130"/>
        <v>5.4645024911193989E-2</v>
      </c>
      <c r="Y77" s="190">
        <f>'400'!Y77+'404'!Y77+'411'!Y77+'425'!Y77+'426'!Y77</f>
        <v>35415</v>
      </c>
      <c r="Z77" s="49">
        <f t="shared" si="131"/>
        <v>3.6172864144275209E-2</v>
      </c>
      <c r="AA77" s="320">
        <f>'400'!AA77+'404'!AA77+'411'!AA77+'425'!AA77+'426'!AA77</f>
        <v>424980</v>
      </c>
      <c r="AB77" s="108">
        <f t="shared" si="132"/>
        <v>4.6584934357768615E-2</v>
      </c>
      <c r="AC77" s="89">
        <f t="shared" ref="AC77" si="135">AA77/12</f>
        <v>35415</v>
      </c>
      <c r="AD77" s="92">
        <f t="shared" si="133"/>
        <v>4.6584934357768629E-2</v>
      </c>
      <c r="AE77" s="144"/>
      <c r="AF77" s="64">
        <f t="shared" si="134"/>
        <v>424980</v>
      </c>
      <c r="AG77" s="27" t="e">
        <f>'400'!#REF!+#REF!+#REF!+#REF!+'404'!#REF!+#REF!+#REF!+#REF!+#REF!+#REF!+#REF!</f>
        <v>#REF!</v>
      </c>
      <c r="AH77" s="27" t="e">
        <f t="shared" si="119"/>
        <v>#REF!</v>
      </c>
      <c r="AI77" s="27">
        <f>'400'!AA77+'404'!AA77+'411'!AA77</f>
        <v>248940</v>
      </c>
    </row>
    <row r="78" spans="1:35" customFormat="1">
      <c r="A78" s="2">
        <v>6202</v>
      </c>
      <c r="B78" s="2" t="s">
        <v>25</v>
      </c>
      <c r="C78" s="190">
        <f>'400'!C78+'404'!C78+'411'!C78+'425'!C78+'426'!C78</f>
        <v>0</v>
      </c>
      <c r="D78" s="49">
        <f t="shared" ref="D78:D142" si="136">C78/C$12</f>
        <v>0</v>
      </c>
      <c r="E78" s="190">
        <f>'400'!E78+'404'!E78+'411'!E78+'425'!E78+'426'!E78</f>
        <v>0</v>
      </c>
      <c r="F78" s="49">
        <f t="shared" ref="F78:F142" si="137">E78/E$12</f>
        <v>0</v>
      </c>
      <c r="G78" s="190">
        <f>'400'!G78+'404'!G78+'411'!G78+'425'!G78+'426'!G78</f>
        <v>0</v>
      </c>
      <c r="H78" s="49">
        <f t="shared" ref="H78:H142" si="138">G78/G$12</f>
        <v>0</v>
      </c>
      <c r="I78" s="190">
        <f>'400'!I78+'404'!I78+'411'!I78+'425'!I78+'426'!I78</f>
        <v>0</v>
      </c>
      <c r="J78" s="49">
        <f t="shared" ref="J78:J142" si="139">I78/I$12</f>
        <v>0</v>
      </c>
      <c r="K78" s="190">
        <f>'400'!K78+'404'!K78+'411'!K78+'425'!K78+'426'!K78</f>
        <v>0</v>
      </c>
      <c r="L78" s="49">
        <f t="shared" ref="L78:L142" si="140">K78/K$12</f>
        <v>0</v>
      </c>
      <c r="M78" s="190">
        <f>'400'!M78+'404'!M78+'411'!M78+'425'!M78+'426'!M78</f>
        <v>0</v>
      </c>
      <c r="N78" s="49">
        <f t="shared" ref="N78:N142" si="141">M78/M$12</f>
        <v>0</v>
      </c>
      <c r="O78" s="190">
        <f>'400'!O78+'404'!O78+'411'!O78+'425'!O78+'426'!O78</f>
        <v>0</v>
      </c>
      <c r="P78" s="49">
        <f t="shared" ref="P78:P142" si="142">O78/O$12</f>
        <v>0</v>
      </c>
      <c r="Q78" s="190">
        <f>'400'!Q78+'404'!Q78+'411'!Q78+'425'!Q78+'426'!Q78</f>
        <v>0</v>
      </c>
      <c r="R78" s="49">
        <f t="shared" ref="R78:R142" si="143">Q78/Q$12</f>
        <v>0</v>
      </c>
      <c r="S78" s="190">
        <f>'400'!S78+'404'!S78+'411'!S78+'425'!S78+'426'!S78</f>
        <v>0</v>
      </c>
      <c r="T78" s="49">
        <f t="shared" ref="T78:T142" si="144">S78/S$12</f>
        <v>0</v>
      </c>
      <c r="U78" s="190">
        <f>'400'!U78+'404'!U78+'411'!U78+'425'!U78+'426'!U78</f>
        <v>0</v>
      </c>
      <c r="V78" s="49">
        <f t="shared" ref="V78:V142" si="145">U78/U$12</f>
        <v>0</v>
      </c>
      <c r="W78" s="190">
        <f>'400'!W78+'404'!W78+'411'!W78+'425'!W78+'426'!W78</f>
        <v>0</v>
      </c>
      <c r="X78" s="49">
        <f t="shared" ref="X78:X142" si="146">W78/W$12</f>
        <v>0</v>
      </c>
      <c r="Y78" s="190">
        <f>'400'!Y78+'404'!Y78+'411'!Y78+'425'!Y78+'426'!Y78</f>
        <v>0</v>
      </c>
      <c r="Z78" s="49">
        <f t="shared" ref="Z78:Z142" si="147">Y78/Y$12</f>
        <v>0</v>
      </c>
      <c r="AA78" s="320">
        <f>'400'!AA78+'404'!AA78+'411'!AA78+'425'!AA78+'426'!AA78</f>
        <v>0</v>
      </c>
      <c r="AB78" s="108">
        <f t="shared" ref="AB78:AB142" si="148">AA78/AA$12</f>
        <v>0</v>
      </c>
      <c r="AC78" s="89">
        <f t="shared" ref="AC78:AC142" si="149">AA78/12</f>
        <v>0</v>
      </c>
      <c r="AD78" s="92">
        <f t="shared" ref="AD78:AD142" si="150">AC78/AC$12</f>
        <v>0</v>
      </c>
      <c r="AE78" s="144"/>
      <c r="AF78" s="64">
        <f t="shared" si="134"/>
        <v>0</v>
      </c>
      <c r="AG78" s="27" t="e">
        <f>'400'!#REF!+#REF!+#REF!+#REF!+'404'!#REF!+#REF!+#REF!+#REF!+#REF!+#REF!+#REF!</f>
        <v>#REF!</v>
      </c>
      <c r="AH78" s="27" t="e">
        <f t="shared" si="119"/>
        <v>#REF!</v>
      </c>
      <c r="AI78" s="27">
        <f>'400'!AA78+'404'!AA78+'411'!AA78</f>
        <v>0</v>
      </c>
    </row>
    <row r="79" spans="1:35" customFormat="1">
      <c r="A79" s="2">
        <v>6203</v>
      </c>
      <c r="B79" s="2" t="s">
        <v>26</v>
      </c>
      <c r="C79" s="190">
        <f>'400'!C79+'404'!C79+'411'!C79+'425'!C79+'426'!C79</f>
        <v>3935</v>
      </c>
      <c r="D79" s="49">
        <f t="shared" si="136"/>
        <v>5.7350564250850059E-3</v>
      </c>
      <c r="E79" s="190">
        <f>'400'!E79+'404'!E79+'411'!E79+'425'!E79+'426'!E79</f>
        <v>3935</v>
      </c>
      <c r="F79" s="49">
        <f t="shared" si="137"/>
        <v>7.3715285403482276E-3</v>
      </c>
      <c r="G79" s="190">
        <f>'400'!G79+'404'!G79+'411'!G79+'425'!G79+'426'!G79</f>
        <v>3935</v>
      </c>
      <c r="H79" s="49">
        <f t="shared" si="138"/>
        <v>4.4439452215407288E-3</v>
      </c>
      <c r="I79" s="190">
        <f>'400'!I79+'404'!I79+'411'!I79+'425'!I79+'426'!I79</f>
        <v>3935</v>
      </c>
      <c r="J79" s="49">
        <f t="shared" si="139"/>
        <v>5.0328132262874624E-3</v>
      </c>
      <c r="K79" s="190">
        <f>'400'!K79+'404'!K79+'411'!K79+'425'!K79+'426'!K79</f>
        <v>3935</v>
      </c>
      <c r="L79" s="49">
        <f t="shared" si="140"/>
        <v>5.5027366404603985E-3</v>
      </c>
      <c r="M79" s="190">
        <f>'400'!M79+'404'!M79+'411'!M79+'425'!M79+'426'!M79</f>
        <v>3935</v>
      </c>
      <c r="N79" s="49">
        <f t="shared" si="141"/>
        <v>3.8806702180424753E-3</v>
      </c>
      <c r="O79" s="190">
        <f>'400'!O79+'404'!O79+'411'!O79+'425'!O79+'426'!O79</f>
        <v>3935</v>
      </c>
      <c r="P79" s="49">
        <f t="shared" si="142"/>
        <v>6.1295304512288575E-3</v>
      </c>
      <c r="Q79" s="190">
        <f>'400'!Q79+'404'!Q79+'411'!Q79+'425'!Q79+'426'!Q79</f>
        <v>3935</v>
      </c>
      <c r="R79" s="49">
        <f t="shared" si="143"/>
        <v>4.9362468753632455E-3</v>
      </c>
      <c r="S79" s="190">
        <f>'400'!S79+'404'!S79+'411'!S79+'425'!S79+'426'!S79</f>
        <v>3935</v>
      </c>
      <c r="T79" s="49">
        <f t="shared" si="144"/>
        <v>4.900087776303008E-3</v>
      </c>
      <c r="U79" s="190">
        <f>'400'!U79+'404'!U79+'411'!U79+'425'!U79+'426'!U79</f>
        <v>3935</v>
      </c>
      <c r="V79" s="49">
        <f t="shared" si="145"/>
        <v>6.1775686350411989E-3</v>
      </c>
      <c r="W79" s="190">
        <f>'400'!W79+'404'!W79+'411'!W79+'425'!W79+'426'!W79</f>
        <v>3935</v>
      </c>
      <c r="X79" s="49">
        <f t="shared" si="146"/>
        <v>6.0716694345771104E-3</v>
      </c>
      <c r="Y79" s="190">
        <f>'400'!Y79+'404'!Y79+'411'!Y79+'425'!Y79+'426'!Y79</f>
        <v>3935</v>
      </c>
      <c r="Z79" s="49">
        <f t="shared" si="147"/>
        <v>4.0192071271416899E-3</v>
      </c>
      <c r="AA79" s="320">
        <f>'400'!AA79+'404'!AA79+'411'!AA79+'425'!AA79+'426'!AA79</f>
        <v>47220</v>
      </c>
      <c r="AB79" s="108">
        <f t="shared" si="148"/>
        <v>5.1761038175298464E-3</v>
      </c>
      <c r="AC79" s="89">
        <f t="shared" si="149"/>
        <v>3935</v>
      </c>
      <c r="AD79" s="92">
        <f t="shared" si="150"/>
        <v>5.1761038175298472E-3</v>
      </c>
      <c r="AE79" s="144"/>
      <c r="AF79" s="64">
        <f t="shared" si="134"/>
        <v>47220</v>
      </c>
      <c r="AG79" s="27" t="e">
        <f>'400'!#REF!+#REF!+#REF!+#REF!+'404'!#REF!+#REF!+#REF!+#REF!+#REF!+#REF!+#REF!</f>
        <v>#REF!</v>
      </c>
      <c r="AH79" s="27" t="e">
        <f t="shared" si="119"/>
        <v>#REF!</v>
      </c>
      <c r="AI79" s="27">
        <f>'400'!AA79+'404'!AA79+'411'!AA79</f>
        <v>27660</v>
      </c>
    </row>
    <row r="80" spans="1:35" customFormat="1">
      <c r="A80" s="2">
        <v>6204</v>
      </c>
      <c r="B80" s="2" t="s">
        <v>27</v>
      </c>
      <c r="C80" s="190">
        <f>'400'!C80+'404'!C80+'411'!C80+'425'!C80+'426'!C80</f>
        <v>0</v>
      </c>
      <c r="D80" s="49">
        <f t="shared" si="136"/>
        <v>0</v>
      </c>
      <c r="E80" s="190">
        <f>'400'!E80+'404'!E80+'411'!E80+'425'!E80+'426'!E80</f>
        <v>0</v>
      </c>
      <c r="F80" s="49">
        <f t="shared" si="137"/>
        <v>0</v>
      </c>
      <c r="G80" s="190">
        <f>'400'!G80+'404'!G80+'411'!G80+'425'!G80+'426'!G80</f>
        <v>0</v>
      </c>
      <c r="H80" s="49">
        <f t="shared" si="138"/>
        <v>0</v>
      </c>
      <c r="I80" s="190">
        <f>'400'!I80+'404'!I80+'411'!I80+'425'!I80+'426'!I80</f>
        <v>0</v>
      </c>
      <c r="J80" s="49">
        <f t="shared" si="139"/>
        <v>0</v>
      </c>
      <c r="K80" s="190">
        <f>'400'!K80+'404'!K80+'411'!K80+'425'!K80+'426'!K80</f>
        <v>0</v>
      </c>
      <c r="L80" s="49">
        <f t="shared" si="140"/>
        <v>0</v>
      </c>
      <c r="M80" s="190">
        <f>'400'!M80+'404'!M80+'411'!M80+'425'!M80+'426'!M80</f>
        <v>0</v>
      </c>
      <c r="N80" s="49">
        <f t="shared" si="141"/>
        <v>0</v>
      </c>
      <c r="O80" s="190">
        <f>'400'!O80+'404'!O80+'411'!O80+'425'!O80+'426'!O80</f>
        <v>0</v>
      </c>
      <c r="P80" s="49">
        <f t="shared" si="142"/>
        <v>0</v>
      </c>
      <c r="Q80" s="190">
        <f>'400'!Q80+'404'!Q80+'411'!Q80+'425'!Q80+'426'!Q80</f>
        <v>0</v>
      </c>
      <c r="R80" s="49">
        <f t="shared" si="143"/>
        <v>0</v>
      </c>
      <c r="S80" s="190">
        <f>'400'!S80+'404'!S80+'411'!S80+'425'!S80+'426'!S80</f>
        <v>0</v>
      </c>
      <c r="T80" s="49">
        <f t="shared" si="144"/>
        <v>0</v>
      </c>
      <c r="U80" s="190">
        <f>'400'!U80+'404'!U80+'411'!U80+'425'!U80+'426'!U80</f>
        <v>0</v>
      </c>
      <c r="V80" s="49">
        <f t="shared" si="145"/>
        <v>0</v>
      </c>
      <c r="W80" s="190">
        <f>'400'!W80+'404'!W80+'411'!W80+'425'!W80+'426'!W80</f>
        <v>0</v>
      </c>
      <c r="X80" s="49">
        <f t="shared" si="146"/>
        <v>0</v>
      </c>
      <c r="Y80" s="190">
        <f>'400'!Y80+'404'!Y80+'411'!Y80+'425'!Y80+'426'!Y80</f>
        <v>0</v>
      </c>
      <c r="Z80" s="49">
        <f t="shared" si="147"/>
        <v>0</v>
      </c>
      <c r="AA80" s="320">
        <f>'400'!AA80+'404'!AA80+'411'!AA80+'425'!AA80+'426'!AA80</f>
        <v>0</v>
      </c>
      <c r="AB80" s="108">
        <f t="shared" si="148"/>
        <v>0</v>
      </c>
      <c r="AC80" s="89">
        <f t="shared" si="149"/>
        <v>0</v>
      </c>
      <c r="AD80" s="92">
        <f t="shared" si="150"/>
        <v>0</v>
      </c>
      <c r="AE80" s="144"/>
      <c r="AF80" s="64">
        <f t="shared" si="134"/>
        <v>0</v>
      </c>
      <c r="AG80" s="27" t="e">
        <f>'400'!#REF!+#REF!+#REF!+#REF!+'404'!#REF!+#REF!+#REF!+#REF!+#REF!+#REF!+#REF!</f>
        <v>#REF!</v>
      </c>
      <c r="AH80" s="27" t="e">
        <f t="shared" si="119"/>
        <v>#REF!</v>
      </c>
      <c r="AI80" s="27">
        <f>'400'!AA80+'404'!AA80+'411'!AA80</f>
        <v>0</v>
      </c>
    </row>
    <row r="81" spans="1:35" customFormat="1">
      <c r="A81" s="2">
        <v>6205</v>
      </c>
      <c r="B81" s="2" t="s">
        <v>28</v>
      </c>
      <c r="C81" s="190">
        <f>'400'!C81+'404'!C81+'411'!C81+'425'!C81+'426'!C81</f>
        <v>0</v>
      </c>
      <c r="D81" s="49">
        <f t="shared" si="136"/>
        <v>0</v>
      </c>
      <c r="E81" s="190">
        <f>'400'!E81+'404'!E81+'411'!E81+'425'!E81+'426'!E81</f>
        <v>0</v>
      </c>
      <c r="F81" s="49">
        <f t="shared" si="137"/>
        <v>0</v>
      </c>
      <c r="G81" s="190">
        <f>'400'!G81+'404'!G81+'411'!G81+'425'!G81+'426'!G81</f>
        <v>0</v>
      </c>
      <c r="H81" s="49">
        <f t="shared" si="138"/>
        <v>0</v>
      </c>
      <c r="I81" s="190">
        <f>'400'!I81+'404'!I81+'411'!I81+'425'!I81+'426'!I81</f>
        <v>0</v>
      </c>
      <c r="J81" s="49">
        <f t="shared" si="139"/>
        <v>0</v>
      </c>
      <c r="K81" s="190">
        <f>'400'!K81+'404'!K81+'411'!K81+'425'!K81+'426'!K81</f>
        <v>0</v>
      </c>
      <c r="L81" s="49">
        <f t="shared" si="140"/>
        <v>0</v>
      </c>
      <c r="M81" s="190">
        <f>'400'!M81+'404'!M81+'411'!M81+'425'!M81+'426'!M81</f>
        <v>0</v>
      </c>
      <c r="N81" s="49">
        <f t="shared" si="141"/>
        <v>0</v>
      </c>
      <c r="O81" s="190">
        <f>'400'!O81+'404'!O81+'411'!O81+'425'!O81+'426'!O81</f>
        <v>0</v>
      </c>
      <c r="P81" s="49">
        <f t="shared" si="142"/>
        <v>0</v>
      </c>
      <c r="Q81" s="190">
        <f>'400'!Q81+'404'!Q81+'411'!Q81+'425'!Q81+'426'!Q81</f>
        <v>0</v>
      </c>
      <c r="R81" s="49">
        <f t="shared" si="143"/>
        <v>0</v>
      </c>
      <c r="S81" s="190">
        <f>'400'!S81+'404'!S81+'411'!S81+'425'!S81+'426'!S81</f>
        <v>0</v>
      </c>
      <c r="T81" s="49">
        <f t="shared" si="144"/>
        <v>0</v>
      </c>
      <c r="U81" s="190">
        <f>'400'!U81+'404'!U81+'411'!U81+'425'!U81+'426'!U81</f>
        <v>0</v>
      </c>
      <c r="V81" s="49">
        <f t="shared" si="145"/>
        <v>0</v>
      </c>
      <c r="W81" s="190">
        <f>'400'!W81+'404'!W81+'411'!W81+'425'!W81+'426'!W81</f>
        <v>0</v>
      </c>
      <c r="X81" s="49">
        <f t="shared" si="146"/>
        <v>0</v>
      </c>
      <c r="Y81" s="190">
        <f>'400'!Y81+'404'!Y81+'411'!Y81+'425'!Y81+'426'!Y81</f>
        <v>0</v>
      </c>
      <c r="Z81" s="49">
        <f t="shared" si="147"/>
        <v>0</v>
      </c>
      <c r="AA81" s="320">
        <f>'400'!AA81+'404'!AA81+'411'!AA81+'425'!AA81+'426'!AA81</f>
        <v>0</v>
      </c>
      <c r="AB81" s="108">
        <f t="shared" si="148"/>
        <v>0</v>
      </c>
      <c r="AC81" s="89">
        <f t="shared" si="149"/>
        <v>0</v>
      </c>
      <c r="AD81" s="92">
        <f t="shared" si="150"/>
        <v>0</v>
      </c>
      <c r="AE81" s="144"/>
      <c r="AF81" s="64">
        <f t="shared" si="134"/>
        <v>0</v>
      </c>
      <c r="AG81" s="27" t="e">
        <f>'400'!#REF!+#REF!+#REF!+#REF!+'404'!#REF!+#REF!+#REF!+#REF!+#REF!+#REF!+#REF!</f>
        <v>#REF!</v>
      </c>
      <c r="AH81" s="27" t="e">
        <f t="shared" ref="AH81:AH122" si="151">AA81-AG81</f>
        <v>#REF!</v>
      </c>
      <c r="AI81" s="27">
        <f>'400'!AA81+'404'!AA81+'411'!AA81</f>
        <v>0</v>
      </c>
    </row>
    <row r="82" spans="1:35" customFormat="1">
      <c r="A82" s="2">
        <v>6206</v>
      </c>
      <c r="B82" s="2" t="s">
        <v>193</v>
      </c>
      <c r="C82" s="190">
        <f>'400'!C82+'404'!C82+'411'!C82+'425'!C82+'426'!C82</f>
        <v>1168.7366666666665</v>
      </c>
      <c r="D82" s="49">
        <f t="shared" si="136"/>
        <v>1.7033724852348407E-3</v>
      </c>
      <c r="E82" s="190">
        <f>'400'!E82+'404'!E82+'411'!E82+'425'!E82+'426'!E82</f>
        <v>1168.7366666666665</v>
      </c>
      <c r="F82" s="49">
        <f t="shared" si="137"/>
        <v>2.1894220316352694E-3</v>
      </c>
      <c r="G82" s="190">
        <f>'400'!G82+'404'!G82+'411'!G82+'425'!G82+'426'!G82</f>
        <v>1168.7366666666665</v>
      </c>
      <c r="H82" s="49">
        <f t="shared" si="138"/>
        <v>1.3198987865496244E-3</v>
      </c>
      <c r="I82" s="190">
        <f>'400'!I82+'404'!I82+'411'!I82+'425'!I82+'426'!I82</f>
        <v>1168.7366666666665</v>
      </c>
      <c r="J82" s="49">
        <f t="shared" si="139"/>
        <v>1.4947988193258245E-3</v>
      </c>
      <c r="K82" s="190">
        <f>'400'!K82+'404'!K82+'411'!K82+'425'!K82+'426'!K82</f>
        <v>1168.7366666666665</v>
      </c>
      <c r="L82" s="49">
        <f t="shared" si="140"/>
        <v>1.6343710492290259E-3</v>
      </c>
      <c r="M82" s="190">
        <f>'400'!M82+'404'!M82+'411'!M82+'425'!M82+'426'!M82</f>
        <v>1168.7366666666665</v>
      </c>
      <c r="N82" s="49">
        <f t="shared" si="141"/>
        <v>1.1526001461416946E-3</v>
      </c>
      <c r="O82" s="190">
        <f>'400'!O82+'404'!O82+'411'!O82+'425'!O82+'426'!O82</f>
        <v>1168.7366666666665</v>
      </c>
      <c r="P82" s="49">
        <f t="shared" si="142"/>
        <v>1.8205354479799345E-3</v>
      </c>
      <c r="Q82" s="190">
        <f>'400'!Q82+'404'!Q82+'411'!Q82+'425'!Q82+'426'!Q82</f>
        <v>1168.7366666666665</v>
      </c>
      <c r="R82" s="49">
        <f t="shared" si="143"/>
        <v>1.4661175905859687E-3</v>
      </c>
      <c r="S82" s="190">
        <f>'400'!S82+'404'!S82+'411'!S82+'425'!S82+'426'!S82</f>
        <v>1168.7366666666665</v>
      </c>
      <c r="T82" s="49">
        <f t="shared" si="144"/>
        <v>1.4553779552860114E-3</v>
      </c>
      <c r="U82" s="190">
        <f>'400'!U82+'404'!U82+'411'!U82+'425'!U82+'426'!U82</f>
        <v>1168.7366666666665</v>
      </c>
      <c r="V82" s="49">
        <f t="shared" si="145"/>
        <v>1.8348032972357305E-3</v>
      </c>
      <c r="W82" s="190">
        <f>'400'!W82+'404'!W82+'411'!W82+'425'!W82+'426'!W82</f>
        <v>1168.7366666666665</v>
      </c>
      <c r="X82" s="49">
        <f t="shared" si="146"/>
        <v>1.8033501133594752E-3</v>
      </c>
      <c r="Y82" s="190">
        <f>'400'!Y82+'404'!Y82+'411'!Y82+'425'!Y82+'426'!Y82</f>
        <v>1168.7366666666665</v>
      </c>
      <c r="Z82" s="49">
        <f t="shared" si="147"/>
        <v>1.1937470750745839E-3</v>
      </c>
      <c r="AA82" s="320">
        <f>'400'!AA82+'404'!AA82+'411'!AA82+'425'!AA82+'426'!AA82</f>
        <v>14024.84</v>
      </c>
      <c r="AB82" s="108">
        <f t="shared" si="148"/>
        <v>1.5373576421907093E-3</v>
      </c>
      <c r="AC82" s="89">
        <f t="shared" si="149"/>
        <v>1168.7366666666667</v>
      </c>
      <c r="AD82" s="92">
        <f t="shared" si="150"/>
        <v>1.5373576421907095E-3</v>
      </c>
      <c r="AE82" s="144"/>
      <c r="AF82" s="64">
        <f t="shared" si="134"/>
        <v>14024.839999999995</v>
      </c>
      <c r="AG82" s="27" t="e">
        <f>'400'!#REF!+#REF!+#REF!+#REF!+'404'!#REF!+#REF!+#REF!+#REF!+#REF!+#REF!+#REF!</f>
        <v>#REF!</v>
      </c>
      <c r="AH82" s="27" t="e">
        <f t="shared" si="151"/>
        <v>#REF!</v>
      </c>
      <c r="AI82" s="27">
        <f>'400'!AA82+'404'!AA82+'411'!AA82</f>
        <v>9822.84</v>
      </c>
    </row>
    <row r="83" spans="1:35" customFormat="1">
      <c r="A83" s="2">
        <v>6207</v>
      </c>
      <c r="B83" s="2" t="s">
        <v>194</v>
      </c>
      <c r="C83" s="190">
        <f>'400'!C83+'404'!C83+'411'!C83+'425'!C83+'426'!C83</f>
        <v>0</v>
      </c>
      <c r="D83" s="49">
        <f t="shared" si="136"/>
        <v>0</v>
      </c>
      <c r="E83" s="190">
        <f>'400'!E83+'404'!E83+'411'!E83+'425'!E83+'426'!E83</f>
        <v>0</v>
      </c>
      <c r="F83" s="49">
        <f t="shared" si="137"/>
        <v>0</v>
      </c>
      <c r="G83" s="190">
        <f>'400'!G83+'404'!G83+'411'!G83+'425'!G83+'426'!G83</f>
        <v>0</v>
      </c>
      <c r="H83" s="49">
        <f t="shared" si="138"/>
        <v>0</v>
      </c>
      <c r="I83" s="190">
        <f>'400'!I83+'404'!I83+'411'!I83+'425'!I83+'426'!I83</f>
        <v>0</v>
      </c>
      <c r="J83" s="49">
        <f t="shared" si="139"/>
        <v>0</v>
      </c>
      <c r="K83" s="190">
        <f>'400'!K83+'404'!K83+'411'!K83+'425'!K83+'426'!K83</f>
        <v>0</v>
      </c>
      <c r="L83" s="49">
        <f t="shared" si="140"/>
        <v>0</v>
      </c>
      <c r="M83" s="190">
        <f>'400'!M83+'404'!M83+'411'!M83+'425'!M83+'426'!M83</f>
        <v>0</v>
      </c>
      <c r="N83" s="49">
        <f t="shared" si="141"/>
        <v>0</v>
      </c>
      <c r="O83" s="190">
        <f>'400'!O83+'404'!O83+'411'!O83+'425'!O83+'426'!O83</f>
        <v>0</v>
      </c>
      <c r="P83" s="49">
        <f t="shared" si="142"/>
        <v>0</v>
      </c>
      <c r="Q83" s="190">
        <f>'400'!Q83+'404'!Q83+'411'!Q83+'425'!Q83+'426'!Q83</f>
        <v>0</v>
      </c>
      <c r="R83" s="49">
        <f t="shared" si="143"/>
        <v>0</v>
      </c>
      <c r="S83" s="190">
        <f>'400'!S83+'404'!S83+'411'!S83+'425'!S83+'426'!S83</f>
        <v>0</v>
      </c>
      <c r="T83" s="49">
        <f t="shared" si="144"/>
        <v>0</v>
      </c>
      <c r="U83" s="190">
        <f>'400'!U83+'404'!U83+'411'!U83+'425'!U83+'426'!U83</f>
        <v>0</v>
      </c>
      <c r="V83" s="49">
        <f t="shared" si="145"/>
        <v>0</v>
      </c>
      <c r="W83" s="190">
        <f>'400'!W83+'404'!W83+'411'!W83+'425'!W83+'426'!W83</f>
        <v>0</v>
      </c>
      <c r="X83" s="49">
        <f t="shared" si="146"/>
        <v>0</v>
      </c>
      <c r="Y83" s="190">
        <f>'400'!Y83+'404'!Y83+'411'!Y83+'425'!Y83+'426'!Y83</f>
        <v>0</v>
      </c>
      <c r="Z83" s="49">
        <f t="shared" si="147"/>
        <v>0</v>
      </c>
      <c r="AA83" s="320">
        <f>'400'!AA83+'404'!AA83+'411'!AA83+'425'!AA83+'426'!AA83</f>
        <v>0</v>
      </c>
      <c r="AB83" s="108">
        <f t="shared" si="148"/>
        <v>0</v>
      </c>
      <c r="AC83" s="89">
        <f t="shared" si="149"/>
        <v>0</v>
      </c>
      <c r="AD83" s="92">
        <f t="shared" si="150"/>
        <v>0</v>
      </c>
      <c r="AE83" s="144"/>
      <c r="AF83" s="64">
        <f t="shared" si="134"/>
        <v>0</v>
      </c>
      <c r="AG83" s="27" t="e">
        <f>'400'!#REF!+#REF!+#REF!+#REF!+'404'!#REF!+#REF!+#REF!+#REF!+#REF!+#REF!+#REF!</f>
        <v>#REF!</v>
      </c>
      <c r="AH83" s="27" t="e">
        <f t="shared" si="151"/>
        <v>#REF!</v>
      </c>
      <c r="AI83" s="27">
        <f>'400'!AA83+'404'!AA83+'411'!AA83</f>
        <v>0</v>
      </c>
    </row>
    <row r="84" spans="1:35" customFormat="1">
      <c r="A84" s="2">
        <v>6208</v>
      </c>
      <c r="B84" s="2" t="s">
        <v>195</v>
      </c>
      <c r="C84" s="190">
        <f>'400'!C84+'404'!C84+'411'!C84+'425'!C84+'426'!C84</f>
        <v>0</v>
      </c>
      <c r="D84" s="49">
        <f t="shared" si="136"/>
        <v>0</v>
      </c>
      <c r="E84" s="190">
        <f>'400'!E84+'404'!E84+'411'!E84+'425'!E84+'426'!E84</f>
        <v>0</v>
      </c>
      <c r="F84" s="49">
        <f t="shared" si="137"/>
        <v>0</v>
      </c>
      <c r="G84" s="190">
        <f>'400'!G84+'404'!G84+'411'!G84+'425'!G84+'426'!G84</f>
        <v>0</v>
      </c>
      <c r="H84" s="49">
        <f t="shared" si="138"/>
        <v>0</v>
      </c>
      <c r="I84" s="190">
        <f>'400'!I84+'404'!I84+'411'!I84+'425'!I84+'426'!I84</f>
        <v>0</v>
      </c>
      <c r="J84" s="49">
        <f t="shared" si="139"/>
        <v>0</v>
      </c>
      <c r="K84" s="190">
        <f>'400'!K84+'404'!K84+'411'!K84+'425'!K84+'426'!K84</f>
        <v>0</v>
      </c>
      <c r="L84" s="49">
        <f t="shared" si="140"/>
        <v>0</v>
      </c>
      <c r="M84" s="190">
        <f>'400'!M84+'404'!M84+'411'!M84+'425'!M84+'426'!M84</f>
        <v>0</v>
      </c>
      <c r="N84" s="49">
        <f t="shared" si="141"/>
        <v>0</v>
      </c>
      <c r="O84" s="190">
        <f>'400'!O84+'404'!O84+'411'!O84+'425'!O84+'426'!O84</f>
        <v>0</v>
      </c>
      <c r="P84" s="49">
        <f t="shared" si="142"/>
        <v>0</v>
      </c>
      <c r="Q84" s="190">
        <f>'400'!Q84+'404'!Q84+'411'!Q84+'425'!Q84+'426'!Q84</f>
        <v>0</v>
      </c>
      <c r="R84" s="49">
        <f t="shared" si="143"/>
        <v>0</v>
      </c>
      <c r="S84" s="190">
        <f>'400'!S84+'404'!S84+'411'!S84+'425'!S84+'426'!S84</f>
        <v>0</v>
      </c>
      <c r="T84" s="49">
        <f t="shared" si="144"/>
        <v>0</v>
      </c>
      <c r="U84" s="190">
        <f>'400'!U84+'404'!U84+'411'!U84+'425'!U84+'426'!U84</f>
        <v>0</v>
      </c>
      <c r="V84" s="49">
        <f t="shared" si="145"/>
        <v>0</v>
      </c>
      <c r="W84" s="190">
        <f>'400'!W84+'404'!W84+'411'!W84+'425'!W84+'426'!W84</f>
        <v>0</v>
      </c>
      <c r="X84" s="49">
        <f t="shared" si="146"/>
        <v>0</v>
      </c>
      <c r="Y84" s="190">
        <f>'400'!Y84+'404'!Y84+'411'!Y84+'425'!Y84+'426'!Y84</f>
        <v>0</v>
      </c>
      <c r="Z84" s="49">
        <f t="shared" si="147"/>
        <v>0</v>
      </c>
      <c r="AA84" s="320">
        <f>'400'!AA84+'404'!AA84+'411'!AA84+'425'!AA84+'426'!AA84</f>
        <v>0</v>
      </c>
      <c r="AB84" s="108">
        <f t="shared" si="148"/>
        <v>0</v>
      </c>
      <c r="AC84" s="89">
        <f t="shared" si="149"/>
        <v>0</v>
      </c>
      <c r="AD84" s="92">
        <f t="shared" si="150"/>
        <v>0</v>
      </c>
      <c r="AE84" s="144"/>
      <c r="AF84" s="64">
        <f t="shared" si="134"/>
        <v>0</v>
      </c>
      <c r="AG84" s="27" t="e">
        <f>'400'!#REF!+#REF!+#REF!+#REF!+'404'!#REF!+#REF!+#REF!+#REF!+#REF!+#REF!+#REF!</f>
        <v>#REF!</v>
      </c>
      <c r="AH84" s="27" t="e">
        <f t="shared" si="151"/>
        <v>#REF!</v>
      </c>
      <c r="AI84" s="27">
        <f>'400'!AA84+'404'!AA84+'411'!AA84</f>
        <v>0</v>
      </c>
    </row>
    <row r="85" spans="1:35" customFormat="1">
      <c r="A85" s="128">
        <v>6209</v>
      </c>
      <c r="B85" s="2" t="s">
        <v>29</v>
      </c>
      <c r="C85" s="190">
        <f>'400'!C85+'404'!C85+'411'!C85+'425'!C85+'426'!C85</f>
        <v>1530.28</v>
      </c>
      <c r="D85" s="49">
        <f t="shared" si="136"/>
        <v>2.2303029596389026E-3</v>
      </c>
      <c r="E85" s="190">
        <f>'400'!E85+'404'!E85+'411'!E85+'425'!E85+'426'!E85</f>
        <v>1530.28</v>
      </c>
      <c r="F85" s="49">
        <f t="shared" si="137"/>
        <v>2.8667097064101867E-3</v>
      </c>
      <c r="G85" s="190">
        <f>'400'!G85+'404'!G85+'411'!G85+'425'!G85+'426'!G85</f>
        <v>1530.28</v>
      </c>
      <c r="H85" s="49">
        <f t="shared" si="138"/>
        <v>1.7282034291281692E-3</v>
      </c>
      <c r="I85" s="190">
        <f>'400'!I85+'404'!I85+'411'!I85+'425'!I85+'426'!I85</f>
        <v>1530.28</v>
      </c>
      <c r="J85" s="49">
        <f t="shared" si="139"/>
        <v>1.9572079857492191E-3</v>
      </c>
      <c r="K85" s="190">
        <f>'400'!K85+'404'!K85+'411'!K85+'425'!K85+'426'!K85</f>
        <v>1530.28</v>
      </c>
      <c r="L85" s="49">
        <f t="shared" si="140"/>
        <v>2.1399562455308102E-3</v>
      </c>
      <c r="M85" s="190">
        <f>'400'!M85+'404'!M85+'411'!M85+'425'!M85+'426'!M85</f>
        <v>1530.28</v>
      </c>
      <c r="N85" s="49">
        <f t="shared" si="141"/>
        <v>1.5091517207791712E-3</v>
      </c>
      <c r="O85" s="190">
        <f>'400'!O85+'404'!O85+'411'!O85+'425'!O85+'426'!O85</f>
        <v>1530.28</v>
      </c>
      <c r="P85" s="49">
        <f t="shared" si="142"/>
        <v>2.3837097481337979E-3</v>
      </c>
      <c r="Q85" s="190">
        <f>'400'!Q85+'404'!Q85+'411'!Q85+'425'!Q85+'426'!Q85</f>
        <v>1530.28</v>
      </c>
      <c r="R85" s="49">
        <f t="shared" si="143"/>
        <v>1.9196543503000932E-3</v>
      </c>
      <c r="S85" s="190">
        <f>'400'!S85+'404'!S85+'411'!S85+'425'!S85+'426'!S85</f>
        <v>1530.28</v>
      </c>
      <c r="T85" s="49">
        <f t="shared" si="144"/>
        <v>1.9055924580231173E-3</v>
      </c>
      <c r="U85" s="190">
        <f>'400'!U85+'404'!U85+'411'!U85+'425'!U85+'426'!U85</f>
        <v>1530.28</v>
      </c>
      <c r="V85" s="49">
        <f t="shared" si="145"/>
        <v>2.4023912911895415E-3</v>
      </c>
      <c r="W85" s="190">
        <f>'400'!W85+'404'!W85+'411'!W85+'425'!W85+'426'!W85</f>
        <v>1530.28</v>
      </c>
      <c r="X85" s="49">
        <f t="shared" si="146"/>
        <v>2.3612082089821246E-3</v>
      </c>
      <c r="Y85" s="190">
        <f>'400'!Y85+'404'!Y85+'411'!Y85+'425'!Y85+'426'!Y85</f>
        <v>1530.28</v>
      </c>
      <c r="Z85" s="49">
        <f t="shared" si="147"/>
        <v>1.5630272636651551E-3</v>
      </c>
      <c r="AA85" s="320">
        <f>'400'!AA85+'404'!AA85+'411'!AA85+'425'!AA85+'426'!AA85</f>
        <v>18363.359999999997</v>
      </c>
      <c r="AB85" s="108">
        <f t="shared" si="148"/>
        <v>2.0129321854865496E-3</v>
      </c>
      <c r="AC85" s="89">
        <f t="shared" si="149"/>
        <v>1530.2799999999997</v>
      </c>
      <c r="AD85" s="92">
        <f t="shared" si="150"/>
        <v>2.01293218548655E-3</v>
      </c>
      <c r="AE85" s="144"/>
      <c r="AF85" s="64">
        <f t="shared" si="134"/>
        <v>18363.36</v>
      </c>
      <c r="AG85" s="27" t="e">
        <f>'400'!#REF!+#REF!+#REF!+#REF!+'404'!#REF!+#REF!+#REF!+#REF!+#REF!+#REF!+#REF!</f>
        <v>#REF!</v>
      </c>
      <c r="AH85" s="27" t="e">
        <f t="shared" si="151"/>
        <v>#REF!</v>
      </c>
      <c r="AI85" s="27">
        <f>'400'!AA85+'404'!AA85+'411'!AA85</f>
        <v>10756.693333333333</v>
      </c>
    </row>
    <row r="86" spans="1:35" customFormat="1">
      <c r="A86" s="128">
        <v>6210</v>
      </c>
      <c r="B86" s="2" t="s">
        <v>30</v>
      </c>
      <c r="C86" s="190">
        <f>'400'!C86+'404'!C86+'411'!C86+'425'!C86+'426'!C86</f>
        <v>0</v>
      </c>
      <c r="D86" s="49">
        <f t="shared" si="136"/>
        <v>0</v>
      </c>
      <c r="E86" s="190">
        <f>'400'!E86+'404'!E86+'411'!E86+'425'!E86+'426'!E86</f>
        <v>0</v>
      </c>
      <c r="F86" s="49">
        <f t="shared" si="137"/>
        <v>0</v>
      </c>
      <c r="G86" s="190">
        <f>'400'!G86+'404'!G86+'411'!G86+'425'!G86+'426'!G86</f>
        <v>0</v>
      </c>
      <c r="H86" s="49">
        <f t="shared" si="138"/>
        <v>0</v>
      </c>
      <c r="I86" s="190">
        <f>'400'!I86+'404'!I86+'411'!I86+'425'!I86+'426'!I86</f>
        <v>0</v>
      </c>
      <c r="J86" s="49">
        <f t="shared" si="139"/>
        <v>0</v>
      </c>
      <c r="K86" s="190">
        <f>'400'!K86+'404'!K86+'411'!K86+'425'!K86+'426'!K86</f>
        <v>0</v>
      </c>
      <c r="L86" s="49">
        <f t="shared" si="140"/>
        <v>0</v>
      </c>
      <c r="M86" s="190">
        <f>'400'!M86+'404'!M86+'411'!M86+'425'!M86+'426'!M86</f>
        <v>0</v>
      </c>
      <c r="N86" s="49">
        <f t="shared" si="141"/>
        <v>0</v>
      </c>
      <c r="O86" s="190">
        <f>'400'!O86+'404'!O86+'411'!O86+'425'!O86+'426'!O86</f>
        <v>0</v>
      </c>
      <c r="P86" s="49">
        <f t="shared" si="142"/>
        <v>0</v>
      </c>
      <c r="Q86" s="190">
        <f>'400'!Q86+'404'!Q86+'411'!Q86+'425'!Q86+'426'!Q86</f>
        <v>0</v>
      </c>
      <c r="R86" s="49">
        <f t="shared" si="143"/>
        <v>0</v>
      </c>
      <c r="S86" s="190">
        <f>'400'!S86+'404'!S86+'411'!S86+'425'!S86+'426'!S86</f>
        <v>0</v>
      </c>
      <c r="T86" s="49">
        <f t="shared" si="144"/>
        <v>0</v>
      </c>
      <c r="U86" s="190">
        <f>'400'!U86+'404'!U86+'411'!U86+'425'!U86+'426'!U86</f>
        <v>0</v>
      </c>
      <c r="V86" s="49">
        <f t="shared" si="145"/>
        <v>0</v>
      </c>
      <c r="W86" s="190">
        <f>'400'!W86+'404'!W86+'411'!W86+'425'!W86+'426'!W86</f>
        <v>0</v>
      </c>
      <c r="X86" s="49">
        <f t="shared" si="146"/>
        <v>0</v>
      </c>
      <c r="Y86" s="190">
        <f>'400'!Y86+'404'!Y86+'411'!Y86+'425'!Y86+'426'!Y86</f>
        <v>0</v>
      </c>
      <c r="Z86" s="49">
        <f t="shared" si="147"/>
        <v>0</v>
      </c>
      <c r="AA86" s="320">
        <f>'400'!AA86+'404'!AA86+'411'!AA86+'425'!AA86+'426'!AA86</f>
        <v>0</v>
      </c>
      <c r="AB86" s="108">
        <f t="shared" si="148"/>
        <v>0</v>
      </c>
      <c r="AC86" s="89">
        <f t="shared" si="149"/>
        <v>0</v>
      </c>
      <c r="AD86" s="92">
        <f t="shared" si="150"/>
        <v>0</v>
      </c>
      <c r="AE86" s="144"/>
      <c r="AF86" s="64">
        <f t="shared" si="134"/>
        <v>0</v>
      </c>
      <c r="AG86" s="27" t="e">
        <f>'400'!#REF!+#REF!+#REF!+#REF!+'404'!#REF!+#REF!+#REF!+#REF!+#REF!+#REF!+#REF!</f>
        <v>#REF!</v>
      </c>
      <c r="AH86" s="27" t="e">
        <f t="shared" si="151"/>
        <v>#REF!</v>
      </c>
      <c r="AI86" s="27">
        <f>'400'!AA86+'404'!AA86+'411'!AA86</f>
        <v>0</v>
      </c>
    </row>
    <row r="87" spans="1:35" customFormat="1">
      <c r="A87" s="128">
        <v>6211</v>
      </c>
      <c r="B87" s="2" t="s">
        <v>31</v>
      </c>
      <c r="C87" s="190">
        <f>'400'!C87+'404'!C87+'411'!C87+'425'!C87+'426'!C87</f>
        <v>0</v>
      </c>
      <c r="D87" s="49">
        <f t="shared" si="136"/>
        <v>0</v>
      </c>
      <c r="E87" s="190">
        <f>'400'!E87+'404'!E87+'411'!E87+'425'!E87+'426'!E87</f>
        <v>0</v>
      </c>
      <c r="F87" s="49">
        <f t="shared" si="137"/>
        <v>0</v>
      </c>
      <c r="G87" s="190">
        <f>'400'!G87+'404'!G87+'411'!G87+'425'!G87+'426'!G87</f>
        <v>0</v>
      </c>
      <c r="H87" s="49">
        <f t="shared" si="138"/>
        <v>0</v>
      </c>
      <c r="I87" s="190">
        <f>'400'!I87+'404'!I87+'411'!I87+'425'!I87+'426'!I87</f>
        <v>0</v>
      </c>
      <c r="J87" s="49">
        <f t="shared" si="139"/>
        <v>0</v>
      </c>
      <c r="K87" s="190">
        <f>'400'!K87+'404'!K87+'411'!K87+'425'!K87+'426'!K87</f>
        <v>0</v>
      </c>
      <c r="L87" s="49">
        <f t="shared" si="140"/>
        <v>0</v>
      </c>
      <c r="M87" s="190">
        <f>'400'!M87+'404'!M87+'411'!M87+'425'!M87+'426'!M87</f>
        <v>0</v>
      </c>
      <c r="N87" s="49">
        <f t="shared" si="141"/>
        <v>0</v>
      </c>
      <c r="O87" s="190">
        <f>'400'!O87+'404'!O87+'411'!O87+'425'!O87+'426'!O87</f>
        <v>0</v>
      </c>
      <c r="P87" s="49">
        <f t="shared" si="142"/>
        <v>0</v>
      </c>
      <c r="Q87" s="190">
        <f>'400'!Q87+'404'!Q87+'411'!Q87+'425'!Q87+'426'!Q87</f>
        <v>0</v>
      </c>
      <c r="R87" s="49">
        <f t="shared" si="143"/>
        <v>0</v>
      </c>
      <c r="S87" s="190">
        <f>'400'!S87+'404'!S87+'411'!S87+'425'!S87+'426'!S87</f>
        <v>0</v>
      </c>
      <c r="T87" s="49">
        <f t="shared" si="144"/>
        <v>0</v>
      </c>
      <c r="U87" s="190">
        <f>'400'!U87+'404'!U87+'411'!U87+'425'!U87+'426'!U87</f>
        <v>0</v>
      </c>
      <c r="V87" s="49">
        <f t="shared" si="145"/>
        <v>0</v>
      </c>
      <c r="W87" s="190">
        <f>'400'!W87+'404'!W87+'411'!W87+'425'!W87+'426'!W87</f>
        <v>0</v>
      </c>
      <c r="X87" s="49">
        <f t="shared" si="146"/>
        <v>0</v>
      </c>
      <c r="Y87" s="190">
        <f>'400'!Y87+'404'!Y87+'411'!Y87+'425'!Y87+'426'!Y87</f>
        <v>0</v>
      </c>
      <c r="Z87" s="49">
        <f t="shared" si="147"/>
        <v>0</v>
      </c>
      <c r="AA87" s="320">
        <f>'400'!AA87+'404'!AA87+'411'!AA87+'425'!AA87+'426'!AA87</f>
        <v>0</v>
      </c>
      <c r="AB87" s="108">
        <f t="shared" si="148"/>
        <v>0</v>
      </c>
      <c r="AC87" s="89">
        <f t="shared" si="149"/>
        <v>0</v>
      </c>
      <c r="AD87" s="92">
        <f t="shared" si="150"/>
        <v>0</v>
      </c>
      <c r="AE87" s="144"/>
      <c r="AF87" s="64">
        <f t="shared" si="134"/>
        <v>0</v>
      </c>
      <c r="AG87" s="27" t="e">
        <f>'400'!#REF!+#REF!+#REF!+#REF!+'404'!#REF!+#REF!+#REF!+#REF!+#REF!+#REF!+#REF!</f>
        <v>#REF!</v>
      </c>
      <c r="AH87" s="27" t="e">
        <f t="shared" si="151"/>
        <v>#REF!</v>
      </c>
      <c r="AI87" s="27">
        <f>'400'!AA87+'404'!AA87+'411'!AA87</f>
        <v>0</v>
      </c>
    </row>
    <row r="88" spans="1:35" customFormat="1">
      <c r="A88" s="2">
        <v>6212</v>
      </c>
      <c r="B88" s="2" t="s">
        <v>32</v>
      </c>
      <c r="C88" s="190">
        <f>'400'!C88+'404'!C88+'411'!C88+'425'!C88+'426'!C88</f>
        <v>125</v>
      </c>
      <c r="D88" s="49">
        <f t="shared" si="136"/>
        <v>1.8218095378287819E-4</v>
      </c>
      <c r="E88" s="190">
        <f>'400'!E88+'404'!E88+'411'!E88+'425'!E88+'426'!E88</f>
        <v>125</v>
      </c>
      <c r="F88" s="49">
        <f t="shared" si="137"/>
        <v>2.341654555383808E-4</v>
      </c>
      <c r="G88" s="190">
        <f>'400'!G88+'404'!G88+'411'!G88+'425'!G88+'426'!G88</f>
        <v>125</v>
      </c>
      <c r="H88" s="49">
        <f t="shared" si="138"/>
        <v>1.4116725608452125E-4</v>
      </c>
      <c r="I88" s="190">
        <f>'400'!I88+'404'!I88+'411'!I88+'425'!I88+'426'!I88</f>
        <v>125</v>
      </c>
      <c r="J88" s="49">
        <f t="shared" si="139"/>
        <v>1.5987335534585329E-4</v>
      </c>
      <c r="K88" s="190">
        <f>'400'!K88+'404'!K88+'411'!K88+'425'!K88+'426'!K88</f>
        <v>125</v>
      </c>
      <c r="L88" s="49">
        <f t="shared" si="140"/>
        <v>1.7480103686341801E-4</v>
      </c>
      <c r="M88" s="190">
        <f>'400'!M88+'404'!M88+'411'!M88+'425'!M88+'426'!M88</f>
        <v>125</v>
      </c>
      <c r="N88" s="49">
        <f t="shared" si="141"/>
        <v>1.2327414923896045E-4</v>
      </c>
      <c r="O88" s="190">
        <f>'400'!O88+'404'!O88+'411'!O88+'425'!O88+'426'!O88</f>
        <v>125</v>
      </c>
      <c r="P88" s="49">
        <f t="shared" si="142"/>
        <v>1.9471189489291159E-4</v>
      </c>
      <c r="Q88" s="190">
        <f>'400'!Q88+'404'!Q88+'411'!Q88+'425'!Q88+'426'!Q88</f>
        <v>125</v>
      </c>
      <c r="R88" s="49">
        <f t="shared" si="143"/>
        <v>1.5680580925550333E-4</v>
      </c>
      <c r="S88" s="190">
        <f>'400'!S88+'404'!S88+'411'!S88+'425'!S88+'426'!S88</f>
        <v>125</v>
      </c>
      <c r="T88" s="49">
        <f t="shared" si="144"/>
        <v>1.5565717205536872E-4</v>
      </c>
      <c r="U88" s="190">
        <f>'400'!U88+'404'!U88+'411'!U88+'425'!U88+'426'!U88</f>
        <v>125</v>
      </c>
      <c r="V88" s="49">
        <f t="shared" si="145"/>
        <v>1.9623788548415498E-4</v>
      </c>
      <c r="W88" s="190">
        <f>'400'!W88+'404'!W88+'411'!W88+'425'!W88+'426'!W88</f>
        <v>125</v>
      </c>
      <c r="X88" s="49">
        <f t="shared" si="146"/>
        <v>1.928738702216363E-4</v>
      </c>
      <c r="Y88" s="190">
        <f>'400'!Y88+'404'!Y88+'411'!Y88+'425'!Y88+'426'!Y88</f>
        <v>125</v>
      </c>
      <c r="Z88" s="49">
        <f t="shared" si="147"/>
        <v>1.2767494050640692E-4</v>
      </c>
      <c r="AA88" s="320">
        <f>'400'!AA88+'404'!AA88+'411'!AA88+'425'!AA88+'426'!AA88</f>
        <v>1500</v>
      </c>
      <c r="AB88" s="108">
        <f t="shared" si="148"/>
        <v>1.6442515303462027E-4</v>
      </c>
      <c r="AC88" s="89">
        <f t="shared" si="149"/>
        <v>125</v>
      </c>
      <c r="AD88" s="92">
        <f t="shared" si="150"/>
        <v>1.6442515303462032E-4</v>
      </c>
      <c r="AE88" s="144"/>
      <c r="AF88" s="64">
        <f t="shared" si="134"/>
        <v>1500</v>
      </c>
      <c r="AG88" s="27" t="e">
        <f>'400'!#REF!+#REF!+#REF!+#REF!+'404'!#REF!+#REF!+#REF!+#REF!+#REF!+#REF!+#REF!</f>
        <v>#REF!</v>
      </c>
      <c r="AH88" s="27" t="e">
        <f t="shared" si="151"/>
        <v>#REF!</v>
      </c>
      <c r="AI88" s="27">
        <f>'400'!AA88+'404'!AA88+'411'!AA88</f>
        <v>900</v>
      </c>
    </row>
    <row r="89" spans="1:35" customFormat="1">
      <c r="A89" s="2">
        <v>6213</v>
      </c>
      <c r="B89" s="2" t="s">
        <v>33</v>
      </c>
      <c r="C89" s="190">
        <f>'400'!C89+'404'!C89+'411'!C89+'425'!C89+'426'!C89</f>
        <v>0</v>
      </c>
      <c r="D89" s="49">
        <f t="shared" si="136"/>
        <v>0</v>
      </c>
      <c r="E89" s="190">
        <f>'400'!E89+'404'!E89+'411'!E89+'425'!E89+'426'!E89</f>
        <v>0</v>
      </c>
      <c r="F89" s="49">
        <f t="shared" si="137"/>
        <v>0</v>
      </c>
      <c r="G89" s="190">
        <f>'400'!G89+'404'!G89+'411'!G89+'425'!G89+'426'!G89</f>
        <v>0</v>
      </c>
      <c r="H89" s="49">
        <f t="shared" si="138"/>
        <v>0</v>
      </c>
      <c r="I89" s="190">
        <f>'400'!I89+'404'!I89+'411'!I89+'425'!I89+'426'!I89</f>
        <v>0</v>
      </c>
      <c r="J89" s="49">
        <f t="shared" si="139"/>
        <v>0</v>
      </c>
      <c r="K89" s="190">
        <f>'400'!K89+'404'!K89+'411'!K89+'425'!K89+'426'!K89</f>
        <v>0</v>
      </c>
      <c r="L89" s="49">
        <f t="shared" si="140"/>
        <v>0</v>
      </c>
      <c r="M89" s="190">
        <f>'400'!M89+'404'!M89+'411'!M89+'425'!M89+'426'!M89</f>
        <v>0</v>
      </c>
      <c r="N89" s="49">
        <f t="shared" si="141"/>
        <v>0</v>
      </c>
      <c r="O89" s="190">
        <f>'400'!O89+'404'!O89+'411'!O89+'425'!O89+'426'!O89</f>
        <v>0</v>
      </c>
      <c r="P89" s="49">
        <f t="shared" si="142"/>
        <v>0</v>
      </c>
      <c r="Q89" s="190">
        <f>'400'!Q89+'404'!Q89+'411'!Q89+'425'!Q89+'426'!Q89</f>
        <v>0</v>
      </c>
      <c r="R89" s="49">
        <f t="shared" si="143"/>
        <v>0</v>
      </c>
      <c r="S89" s="190">
        <f>'400'!S89+'404'!S89+'411'!S89+'425'!S89+'426'!S89</f>
        <v>0</v>
      </c>
      <c r="T89" s="49">
        <f t="shared" si="144"/>
        <v>0</v>
      </c>
      <c r="U89" s="190">
        <f>'400'!U89+'404'!U89+'411'!U89+'425'!U89+'426'!U89</f>
        <v>0</v>
      </c>
      <c r="V89" s="49">
        <f t="shared" si="145"/>
        <v>0</v>
      </c>
      <c r="W89" s="190">
        <f>'400'!W89+'404'!W89+'411'!W89+'425'!W89+'426'!W89</f>
        <v>0</v>
      </c>
      <c r="X89" s="49">
        <f t="shared" si="146"/>
        <v>0</v>
      </c>
      <c r="Y89" s="190">
        <f>'400'!Y89+'404'!Y89+'411'!Y89+'425'!Y89+'426'!Y89</f>
        <v>0</v>
      </c>
      <c r="Z89" s="49">
        <f t="shared" si="147"/>
        <v>0</v>
      </c>
      <c r="AA89" s="320">
        <f>'400'!AA89+'404'!AA89+'411'!AA89+'425'!AA89+'426'!AA89</f>
        <v>0</v>
      </c>
      <c r="AB89" s="108">
        <f t="shared" si="148"/>
        <v>0</v>
      </c>
      <c r="AC89" s="89">
        <f t="shared" si="149"/>
        <v>0</v>
      </c>
      <c r="AD89" s="92">
        <f t="shared" si="150"/>
        <v>0</v>
      </c>
      <c r="AE89" s="144"/>
      <c r="AF89" s="64">
        <f t="shared" si="134"/>
        <v>0</v>
      </c>
      <c r="AG89" s="27" t="e">
        <f>'400'!#REF!+#REF!+#REF!+#REF!+'404'!#REF!+#REF!+#REF!+#REF!+#REF!+#REF!+#REF!</f>
        <v>#REF!</v>
      </c>
      <c r="AH89" s="27" t="e">
        <f t="shared" si="151"/>
        <v>#REF!</v>
      </c>
      <c r="AI89" s="27">
        <f>'400'!AA89+'404'!AA89+'411'!AA89</f>
        <v>0</v>
      </c>
    </row>
    <row r="90" spans="1:35" customFormat="1">
      <c r="A90" s="2">
        <v>6214</v>
      </c>
      <c r="B90" s="2" t="s">
        <v>34</v>
      </c>
      <c r="C90" s="190">
        <f>'400'!C90+'404'!C90+'411'!C90+'425'!C90+'426'!C90</f>
        <v>3008.3333333333335</v>
      </c>
      <c r="D90" s="49">
        <f t="shared" si="136"/>
        <v>4.3844882877079354E-3</v>
      </c>
      <c r="E90" s="190">
        <f>'400'!E90+'404'!E90+'411'!E90+'425'!E90+'426'!E90</f>
        <v>3008.3333333333335</v>
      </c>
      <c r="F90" s="49">
        <f t="shared" si="137"/>
        <v>5.6355819632903648E-3</v>
      </c>
      <c r="G90" s="190">
        <f>'400'!G90+'404'!G90+'411'!G90+'425'!G90+'426'!G90</f>
        <v>3008.3333333333335</v>
      </c>
      <c r="H90" s="49">
        <f t="shared" si="138"/>
        <v>3.3974252964341445E-3</v>
      </c>
      <c r="I90" s="190">
        <f>'400'!I90+'404'!I90+'411'!I90+'425'!I90+'426'!I90</f>
        <v>3008.3333333333335</v>
      </c>
      <c r="J90" s="49">
        <f t="shared" si="139"/>
        <v>3.8476187519902029E-3</v>
      </c>
      <c r="K90" s="190">
        <f>'400'!K90+'404'!K90+'411'!K90+'425'!K90+'426'!K90</f>
        <v>3008.3333333333335</v>
      </c>
      <c r="L90" s="49">
        <f t="shared" si="140"/>
        <v>4.2068782871795933E-3</v>
      </c>
      <c r="M90" s="190">
        <f>'400'!M90+'404'!M90+'411'!M90+'425'!M90+'426'!M90</f>
        <v>3008.3333333333335</v>
      </c>
      <c r="N90" s="49">
        <f t="shared" si="141"/>
        <v>2.9667978583509816E-3</v>
      </c>
      <c r="O90" s="190">
        <f>'400'!O90+'404'!O90+'411'!O90+'425'!O90+'426'!O90</f>
        <v>3008.3333333333335</v>
      </c>
      <c r="P90" s="49">
        <f t="shared" si="142"/>
        <v>4.6860662704227398E-3</v>
      </c>
      <c r="Q90" s="190">
        <f>'400'!Q90+'404'!Q90+'411'!Q90+'425'!Q90+'426'!Q90</f>
        <v>3008.3333333333335</v>
      </c>
      <c r="R90" s="49">
        <f t="shared" si="143"/>
        <v>3.7737931427491139E-3</v>
      </c>
      <c r="S90" s="190">
        <f>'400'!S90+'404'!S90+'411'!S90+'425'!S90+'426'!S90</f>
        <v>3008.3333333333335</v>
      </c>
      <c r="T90" s="49">
        <f t="shared" si="144"/>
        <v>3.7461492741325412E-3</v>
      </c>
      <c r="U90" s="190">
        <f>'400'!U90+'404'!U90+'411'!U90+'425'!U90+'426'!U90</f>
        <v>3008.3333333333335</v>
      </c>
      <c r="V90" s="49">
        <f t="shared" si="145"/>
        <v>4.7227917773186639E-3</v>
      </c>
      <c r="W90" s="190">
        <f>'400'!W90+'404'!W90+'411'!W90+'425'!W90+'426'!W90</f>
        <v>3008.3333333333335</v>
      </c>
      <c r="X90" s="49">
        <f t="shared" si="146"/>
        <v>4.6418311433340468E-3</v>
      </c>
      <c r="Y90" s="190">
        <f>'400'!Y90+'404'!Y90+'411'!Y90+'425'!Y90+'426'!Y90</f>
        <v>3008.3333333333335</v>
      </c>
      <c r="Z90" s="49">
        <f t="shared" si="147"/>
        <v>3.0727102348541936E-3</v>
      </c>
      <c r="AA90" s="320">
        <f>'400'!AA90+'404'!AA90+'411'!AA90+'425'!AA90+'426'!AA90</f>
        <v>36100</v>
      </c>
      <c r="AB90" s="108">
        <f t="shared" si="148"/>
        <v>3.9571653496998614E-3</v>
      </c>
      <c r="AC90" s="89">
        <f t="shared" si="149"/>
        <v>3008.3333333333335</v>
      </c>
      <c r="AD90" s="92">
        <f t="shared" si="150"/>
        <v>3.9571653496998623E-3</v>
      </c>
      <c r="AE90" s="144"/>
      <c r="AF90" s="64">
        <f t="shared" si="134"/>
        <v>36100</v>
      </c>
      <c r="AG90" s="27" t="e">
        <f>'400'!#REF!+#REF!+#REF!+#REF!+'404'!#REF!+#REF!+#REF!+#REF!+#REF!+#REF!+#REF!</f>
        <v>#REF!</v>
      </c>
      <c r="AH90" s="27" t="e">
        <f t="shared" si="151"/>
        <v>#REF!</v>
      </c>
      <c r="AI90" s="27">
        <f>'400'!AA90+'404'!AA90+'411'!AA90</f>
        <v>19800</v>
      </c>
    </row>
    <row r="91" spans="1:35" customFormat="1">
      <c r="A91" s="2">
        <v>6215</v>
      </c>
      <c r="B91" s="2" t="s">
        <v>35</v>
      </c>
      <c r="C91" s="190">
        <f>'400'!C91+'404'!C91+'411'!C91+'425'!C91+'426'!C91</f>
        <v>5410.625</v>
      </c>
      <c r="D91" s="49">
        <f t="shared" si="136"/>
        <v>7.8857025844918834E-3</v>
      </c>
      <c r="E91" s="190">
        <f>'400'!E91+'404'!E91+'411'!E91+'425'!E91+'426'!E91</f>
        <v>5410.625</v>
      </c>
      <c r="F91" s="49">
        <f t="shared" si="137"/>
        <v>1.0135851742978813E-2</v>
      </c>
      <c r="G91" s="190">
        <f>'400'!G91+'404'!G91+'411'!G91+'425'!G91+'426'!G91</f>
        <v>5410.625</v>
      </c>
      <c r="H91" s="49">
        <f t="shared" si="138"/>
        <v>6.1104246796185018E-3</v>
      </c>
      <c r="I91" s="190">
        <f>'400'!I91+'404'!I91+'411'!I91+'425'!I91+'426'!I91</f>
        <v>5410.625</v>
      </c>
      <c r="J91" s="49">
        <f t="shared" si="139"/>
        <v>6.9201181861452601E-3</v>
      </c>
      <c r="K91" s="190">
        <f>'400'!K91+'404'!K91+'411'!K91+'425'!K91+'426'!K91</f>
        <v>5410.625</v>
      </c>
      <c r="L91" s="49">
        <f t="shared" si="140"/>
        <v>7.5662628806330481E-3</v>
      </c>
      <c r="M91" s="190">
        <f>'400'!M91+'404'!M91+'411'!M91+'425'!M91+'426'!M91</f>
        <v>5410.625</v>
      </c>
      <c r="N91" s="49">
        <f t="shared" si="141"/>
        <v>5.3359215498084032E-3</v>
      </c>
      <c r="O91" s="190">
        <f>'400'!O91+'404'!O91+'411'!O91+'425'!O91+'426'!O91</f>
        <v>5410.625</v>
      </c>
      <c r="P91" s="49">
        <f t="shared" si="142"/>
        <v>8.4281043704396777E-3</v>
      </c>
      <c r="Q91" s="190">
        <f>'400'!Q91+'404'!Q91+'411'!Q91+'425'!Q91+'426'!Q91</f>
        <v>5410.625</v>
      </c>
      <c r="R91" s="49">
        <f t="shared" si="143"/>
        <v>6.7873394536244617E-3</v>
      </c>
      <c r="S91" s="190">
        <f>'400'!S91+'404'!S91+'411'!S91+'425'!S91+'426'!S91</f>
        <v>5410.625</v>
      </c>
      <c r="T91" s="49">
        <f t="shared" si="144"/>
        <v>6.7376206924166359E-3</v>
      </c>
      <c r="U91" s="190">
        <f>'400'!U91+'404'!U91+'411'!U91+'425'!U91+'426'!U91</f>
        <v>5410.625</v>
      </c>
      <c r="V91" s="49">
        <f t="shared" si="145"/>
        <v>8.4941568731816495E-3</v>
      </c>
      <c r="W91" s="190">
        <f>'400'!W91+'404'!W91+'411'!W91+'425'!W91+'426'!W91</f>
        <v>5410.625</v>
      </c>
      <c r="X91" s="49">
        <f t="shared" si="146"/>
        <v>8.3485454725435258E-3</v>
      </c>
      <c r="Y91" s="190">
        <f>'400'!Y91+'404'!Y91+'411'!Y91+'425'!Y91+'426'!Y91</f>
        <v>5410.625</v>
      </c>
      <c r="Z91" s="49">
        <f t="shared" si="147"/>
        <v>5.5264097998198236E-3</v>
      </c>
      <c r="AA91" s="320">
        <f>'400'!AA91+'404'!AA91+'411'!AA91+'425'!AA91+'426'!AA91</f>
        <v>64927.5</v>
      </c>
      <c r="AB91" s="108">
        <f t="shared" si="148"/>
        <v>7.1171427491035387E-3</v>
      </c>
      <c r="AC91" s="89">
        <f t="shared" si="149"/>
        <v>5410.625</v>
      </c>
      <c r="AD91" s="92">
        <f t="shared" si="150"/>
        <v>7.1171427491035404E-3</v>
      </c>
      <c r="AE91" s="144"/>
      <c r="AF91" s="64">
        <f t="shared" si="134"/>
        <v>64927.5</v>
      </c>
      <c r="AG91" s="27" t="e">
        <f>'400'!#REF!+#REF!+#REF!+#REF!+'404'!#REF!+#REF!+#REF!+#REF!+#REF!+#REF!+#REF!</f>
        <v>#REF!</v>
      </c>
      <c r="AH91" s="27" t="e">
        <f t="shared" si="151"/>
        <v>#REF!</v>
      </c>
      <c r="AI91" s="27">
        <f>'400'!AA91+'404'!AA91+'411'!AA91</f>
        <v>38032.5</v>
      </c>
    </row>
    <row r="92" spans="1:35" customFormat="1">
      <c r="A92" s="2">
        <v>6216</v>
      </c>
      <c r="B92" s="2" t="s">
        <v>91</v>
      </c>
      <c r="C92" s="190">
        <f>'400'!C92+'404'!C92+'411'!C92+'425'!C92+'426'!C92</f>
        <v>0</v>
      </c>
      <c r="D92" s="49">
        <f t="shared" si="136"/>
        <v>0</v>
      </c>
      <c r="E92" s="190">
        <f>'400'!E92+'404'!E92+'411'!E92+'425'!E92+'426'!E92</f>
        <v>0</v>
      </c>
      <c r="F92" s="49">
        <f t="shared" si="137"/>
        <v>0</v>
      </c>
      <c r="G92" s="190">
        <f>'400'!G92+'404'!G92+'411'!G92+'425'!G92+'426'!G92</f>
        <v>0</v>
      </c>
      <c r="H92" s="49">
        <f t="shared" si="138"/>
        <v>0</v>
      </c>
      <c r="I92" s="190">
        <f>'400'!I92+'404'!I92+'411'!I92+'425'!I92+'426'!I92</f>
        <v>0</v>
      </c>
      <c r="J92" s="49">
        <f t="shared" si="139"/>
        <v>0</v>
      </c>
      <c r="K92" s="190">
        <f>'400'!K92+'404'!K92+'411'!K92+'425'!K92+'426'!K92</f>
        <v>0</v>
      </c>
      <c r="L92" s="49">
        <f t="shared" si="140"/>
        <v>0</v>
      </c>
      <c r="M92" s="190">
        <f>'400'!M92+'404'!M92+'411'!M92+'425'!M92+'426'!M92</f>
        <v>0</v>
      </c>
      <c r="N92" s="49">
        <f t="shared" si="141"/>
        <v>0</v>
      </c>
      <c r="O92" s="190">
        <f>'400'!O92+'404'!O92+'411'!O92+'425'!O92+'426'!O92</f>
        <v>0</v>
      </c>
      <c r="P92" s="49">
        <f t="shared" si="142"/>
        <v>0</v>
      </c>
      <c r="Q92" s="190">
        <f>'400'!Q92+'404'!Q92+'411'!Q92+'425'!Q92+'426'!Q92</f>
        <v>0</v>
      </c>
      <c r="R92" s="49">
        <f t="shared" si="143"/>
        <v>0</v>
      </c>
      <c r="S92" s="190">
        <f>'400'!S92+'404'!S92+'411'!S92+'425'!S92+'426'!S92</f>
        <v>0</v>
      </c>
      <c r="T92" s="49">
        <f t="shared" si="144"/>
        <v>0</v>
      </c>
      <c r="U92" s="190">
        <f>'400'!U92+'404'!U92+'411'!U92+'425'!U92+'426'!U92</f>
        <v>0</v>
      </c>
      <c r="V92" s="49">
        <f t="shared" si="145"/>
        <v>0</v>
      </c>
      <c r="W92" s="190">
        <f>'400'!W92+'404'!W92+'411'!W92+'425'!W92+'426'!W92</f>
        <v>0</v>
      </c>
      <c r="X92" s="49">
        <f t="shared" si="146"/>
        <v>0</v>
      </c>
      <c r="Y92" s="190">
        <f>'400'!Y92+'404'!Y92+'411'!Y92+'425'!Y92+'426'!Y92</f>
        <v>0</v>
      </c>
      <c r="Z92" s="49">
        <f t="shared" si="147"/>
        <v>0</v>
      </c>
      <c r="AA92" s="320">
        <f>'400'!AA92+'404'!AA92+'411'!AA92+'425'!AA92+'426'!AA92</f>
        <v>0</v>
      </c>
      <c r="AB92" s="108">
        <f t="shared" si="148"/>
        <v>0</v>
      </c>
      <c r="AC92" s="89">
        <f t="shared" si="149"/>
        <v>0</v>
      </c>
      <c r="AD92" s="92">
        <f t="shared" si="150"/>
        <v>0</v>
      </c>
      <c r="AE92" s="144"/>
      <c r="AF92" s="64">
        <f t="shared" si="134"/>
        <v>0</v>
      </c>
      <c r="AG92" s="27" t="e">
        <f>'400'!#REF!+#REF!+#REF!+#REF!+'404'!#REF!+#REF!+#REF!+#REF!+#REF!+#REF!+#REF!</f>
        <v>#REF!</v>
      </c>
      <c r="AH92" s="27" t="e">
        <f t="shared" si="151"/>
        <v>#REF!</v>
      </c>
      <c r="AI92" s="27">
        <f>'400'!AA92+'404'!AA92+'411'!AA92</f>
        <v>0</v>
      </c>
    </row>
    <row r="93" spans="1:35" customFormat="1" ht="15.75" thickBot="1">
      <c r="A93" s="235">
        <v>6299</v>
      </c>
      <c r="B93" s="235" t="s">
        <v>100</v>
      </c>
      <c r="C93" s="236">
        <f>'400'!C93+'404'!C93+'411'!C93+'425'!C93+'426'!C93</f>
        <v>50592.975000000006</v>
      </c>
      <c r="D93" s="237">
        <f t="shared" si="136"/>
        <v>7.3736611521706505E-2</v>
      </c>
      <c r="E93" s="236">
        <f>'400'!E93+'404'!E93+'411'!E93+'425'!E93+'426'!E93</f>
        <v>50592.975000000006</v>
      </c>
      <c r="F93" s="237">
        <f t="shared" si="137"/>
        <v>9.4777016303335293E-2</v>
      </c>
      <c r="G93" s="236">
        <f>'400'!G93+'404'!G93+'411'!G93+'425'!G93+'426'!G93</f>
        <v>50592.975000000006</v>
      </c>
      <c r="H93" s="237">
        <f t="shared" si="138"/>
        <v>5.7136571663222252E-2</v>
      </c>
      <c r="I93" s="236">
        <f>'400'!I93+'404'!I93+'411'!I93+'425'!I93+'426'!I93</f>
        <v>50592.975000000006</v>
      </c>
      <c r="J93" s="237">
        <f t="shared" si="139"/>
        <v>6.4707749361430991E-2</v>
      </c>
      <c r="K93" s="236">
        <f>'400'!K93+'404'!K93+'411'!K93+'425'!K93+'426'!K93</f>
        <v>50592.975000000006</v>
      </c>
      <c r="L93" s="237">
        <f t="shared" si="140"/>
        <v>7.074963590403989E-2</v>
      </c>
      <c r="M93" s="236">
        <f>'400'!M93+'404'!M93+'411'!M93+'425'!M93+'426'!M93</f>
        <v>50592.975000000006</v>
      </c>
      <c r="N93" s="237">
        <f t="shared" si="141"/>
        <v>4.9894447604743965E-2</v>
      </c>
      <c r="O93" s="236">
        <f>'400'!O93+'404'!O93+'411'!O93+'425'!O93+'426'!O93</f>
        <v>50592.975000000006</v>
      </c>
      <c r="P93" s="237">
        <f t="shared" si="142"/>
        <v>7.8808432244157636E-2</v>
      </c>
      <c r="Q93" s="236">
        <f>'400'!Q93+'404'!Q93+'411'!Q93+'425'!Q93+'426'!Q93</f>
        <v>50592.975000000006</v>
      </c>
      <c r="R93" s="237">
        <f t="shared" si="143"/>
        <v>6.3466179100147596E-2</v>
      </c>
      <c r="S93" s="236">
        <f>'400'!S93+'404'!S93+'411'!S93+'425'!S93+'426'!S93</f>
        <v>50592.975000000006</v>
      </c>
      <c r="T93" s="237">
        <f t="shared" si="144"/>
        <v>6.3001275314943761E-2</v>
      </c>
      <c r="U93" s="236">
        <f>'400'!U93+'404'!U93+'411'!U93+'425'!U93+'426'!U93</f>
        <v>50592.975000000006</v>
      </c>
      <c r="V93" s="237">
        <f t="shared" si="145"/>
        <v>7.942606747482174E-2</v>
      </c>
      <c r="W93" s="236">
        <f>'400'!W93+'404'!W93+'411'!W93+'425'!W93+'426'!W93</f>
        <v>50592.975000000006</v>
      </c>
      <c r="X93" s="237">
        <f t="shared" si="146"/>
        <v>7.8064503154211914E-2</v>
      </c>
      <c r="Y93" s="236">
        <f>'400'!Y93+'404'!Y93+'411'!Y93+'425'!Y93+'426'!Y93</f>
        <v>50592.975000000006</v>
      </c>
      <c r="Z93" s="237">
        <f t="shared" si="147"/>
        <v>5.1675640585337072E-2</v>
      </c>
      <c r="AA93" s="321">
        <f>'400'!AA93+'404'!AA93+'411'!AA93+'425'!AA93+'426'!AA93</f>
        <v>607115.69999999995</v>
      </c>
      <c r="AB93" s="237">
        <f t="shared" si="148"/>
        <v>6.6550061254813733E-2</v>
      </c>
      <c r="AC93" s="238">
        <f t="shared" si="149"/>
        <v>50592.974999999999</v>
      </c>
      <c r="AD93" s="237">
        <f t="shared" si="150"/>
        <v>6.6550061254813761E-2</v>
      </c>
      <c r="AE93" s="144"/>
      <c r="AF93" s="64">
        <f t="shared" si="134"/>
        <v>607115.69999999995</v>
      </c>
      <c r="AG93" s="27" t="e">
        <f>'400'!#REF!+#REF!+#REF!+#REF!+'404'!#REF!+#REF!+#REF!+#REF!+#REF!+#REF!+#REF!</f>
        <v>#REF!</v>
      </c>
      <c r="AH93" s="27" t="e">
        <f t="shared" si="151"/>
        <v>#REF!</v>
      </c>
      <c r="AI93" s="27">
        <f>'400'!AA93+'404'!AA93+'411'!AA93</f>
        <v>355912.03333333333</v>
      </c>
    </row>
    <row r="94" spans="1:35" customFormat="1" ht="15.75" thickTop="1">
      <c r="A94" s="2">
        <v>6301</v>
      </c>
      <c r="B94" s="2" t="s">
        <v>36</v>
      </c>
      <c r="C94" s="190">
        <f>'400'!C94+'404'!C94+'411'!C94+'425'!C94+'426'!C94</f>
        <v>0</v>
      </c>
      <c r="D94" s="49">
        <f t="shared" si="136"/>
        <v>0</v>
      </c>
      <c r="E94" s="190">
        <f>'400'!E94+'404'!E94+'411'!E94+'425'!E94+'426'!E94</f>
        <v>0</v>
      </c>
      <c r="F94" s="49">
        <f t="shared" si="137"/>
        <v>0</v>
      </c>
      <c r="G94" s="190">
        <f>'400'!G94+'404'!G94+'411'!G94+'425'!G94+'426'!G94</f>
        <v>0</v>
      </c>
      <c r="H94" s="49">
        <f t="shared" si="138"/>
        <v>0</v>
      </c>
      <c r="I94" s="190">
        <f>'400'!I94+'404'!I94+'411'!I94+'425'!I94+'426'!I94</f>
        <v>0</v>
      </c>
      <c r="J94" s="49">
        <f t="shared" si="139"/>
        <v>0</v>
      </c>
      <c r="K94" s="190">
        <f>'400'!K94+'404'!K94+'411'!K94+'425'!K94+'426'!K94</f>
        <v>0</v>
      </c>
      <c r="L94" s="49">
        <f t="shared" si="140"/>
        <v>0</v>
      </c>
      <c r="M94" s="190">
        <f>'400'!M94+'404'!M94+'411'!M94+'425'!M94+'426'!M94</f>
        <v>0</v>
      </c>
      <c r="N94" s="49">
        <f t="shared" si="141"/>
        <v>0</v>
      </c>
      <c r="O94" s="190">
        <f>'400'!O94+'404'!O94+'411'!O94+'425'!O94+'426'!O94</f>
        <v>0</v>
      </c>
      <c r="P94" s="49">
        <f t="shared" si="142"/>
        <v>0</v>
      </c>
      <c r="Q94" s="190">
        <f>'400'!Q94+'404'!Q94+'411'!Q94+'425'!Q94+'426'!Q94</f>
        <v>0</v>
      </c>
      <c r="R94" s="49">
        <f t="shared" si="143"/>
        <v>0</v>
      </c>
      <c r="S94" s="190">
        <f>'400'!S94+'404'!S94+'411'!S94+'425'!S94+'426'!S94</f>
        <v>0</v>
      </c>
      <c r="T94" s="49">
        <f t="shared" si="144"/>
        <v>0</v>
      </c>
      <c r="U94" s="190">
        <f>'400'!U94+'404'!U94+'411'!U94+'425'!U94+'426'!U94</f>
        <v>0</v>
      </c>
      <c r="V94" s="49">
        <f t="shared" si="145"/>
        <v>0</v>
      </c>
      <c r="W94" s="190">
        <f>'400'!W94+'404'!W94+'411'!W94+'425'!W94+'426'!W94</f>
        <v>0</v>
      </c>
      <c r="X94" s="49">
        <f t="shared" si="146"/>
        <v>0</v>
      </c>
      <c r="Y94" s="190">
        <f>'400'!Y94+'404'!Y94+'411'!Y94+'425'!Y94+'426'!Y94</f>
        <v>0</v>
      </c>
      <c r="Z94" s="49">
        <f t="shared" si="147"/>
        <v>0</v>
      </c>
      <c r="AA94" s="320">
        <f>'400'!AA94+'404'!AA94+'411'!AA94+'425'!AA94+'426'!AA94</f>
        <v>0</v>
      </c>
      <c r="AB94" s="108">
        <f t="shared" si="148"/>
        <v>0</v>
      </c>
      <c r="AC94" s="89">
        <f t="shared" si="149"/>
        <v>0</v>
      </c>
      <c r="AD94" s="92">
        <f t="shared" si="150"/>
        <v>0</v>
      </c>
      <c r="AE94" s="144"/>
      <c r="AF94" s="64">
        <f t="shared" si="134"/>
        <v>0</v>
      </c>
      <c r="AG94" s="27" t="e">
        <f>'400'!#REF!+#REF!+#REF!+#REF!+'404'!#REF!+#REF!+#REF!+#REF!+#REF!+#REF!+#REF!</f>
        <v>#REF!</v>
      </c>
      <c r="AH94" s="27" t="e">
        <f t="shared" si="151"/>
        <v>#REF!</v>
      </c>
      <c r="AI94" s="27">
        <f>'400'!AA94+'404'!AA94+'411'!AA94</f>
        <v>0</v>
      </c>
    </row>
    <row r="95" spans="1:35" customFormat="1">
      <c r="A95" s="2">
        <v>6302</v>
      </c>
      <c r="B95" s="2" t="s">
        <v>37</v>
      </c>
      <c r="C95" s="190">
        <f>'400'!C95+'404'!C95+'411'!C95+'425'!C95+'426'!C95</f>
        <v>0</v>
      </c>
      <c r="D95" s="49">
        <f t="shared" si="136"/>
        <v>0</v>
      </c>
      <c r="E95" s="190">
        <f>'400'!E95+'404'!E95+'411'!E95+'425'!E95+'426'!E95</f>
        <v>0</v>
      </c>
      <c r="F95" s="49">
        <f t="shared" si="137"/>
        <v>0</v>
      </c>
      <c r="G95" s="190">
        <f>'400'!G95+'404'!G95+'411'!G95+'425'!G95+'426'!G95</f>
        <v>0</v>
      </c>
      <c r="H95" s="49">
        <f t="shared" si="138"/>
        <v>0</v>
      </c>
      <c r="I95" s="190">
        <f>'400'!I95+'404'!I95+'411'!I95+'425'!I95+'426'!I95</f>
        <v>0</v>
      </c>
      <c r="J95" s="49">
        <f t="shared" si="139"/>
        <v>0</v>
      </c>
      <c r="K95" s="190">
        <f>'400'!K95+'404'!K95+'411'!K95+'425'!K95+'426'!K95</f>
        <v>0</v>
      </c>
      <c r="L95" s="49">
        <f t="shared" si="140"/>
        <v>0</v>
      </c>
      <c r="M95" s="190">
        <f>'400'!M95+'404'!M95+'411'!M95+'425'!M95+'426'!M95</f>
        <v>0</v>
      </c>
      <c r="N95" s="49">
        <f t="shared" si="141"/>
        <v>0</v>
      </c>
      <c r="O95" s="190">
        <f>'400'!O95+'404'!O95+'411'!O95+'425'!O95+'426'!O95</f>
        <v>0</v>
      </c>
      <c r="P95" s="49">
        <f t="shared" si="142"/>
        <v>0</v>
      </c>
      <c r="Q95" s="190">
        <f>'400'!Q95+'404'!Q95+'411'!Q95+'425'!Q95+'426'!Q95</f>
        <v>0</v>
      </c>
      <c r="R95" s="49">
        <f t="shared" si="143"/>
        <v>0</v>
      </c>
      <c r="S95" s="190">
        <f>'400'!S95+'404'!S95+'411'!S95+'425'!S95+'426'!S95</f>
        <v>0</v>
      </c>
      <c r="T95" s="49">
        <f t="shared" si="144"/>
        <v>0</v>
      </c>
      <c r="U95" s="190">
        <f>'400'!U95+'404'!U95+'411'!U95+'425'!U95+'426'!U95</f>
        <v>0</v>
      </c>
      <c r="V95" s="49">
        <f t="shared" si="145"/>
        <v>0</v>
      </c>
      <c r="W95" s="190">
        <f>'400'!W95+'404'!W95+'411'!W95+'425'!W95+'426'!W95</f>
        <v>0</v>
      </c>
      <c r="X95" s="49">
        <f t="shared" si="146"/>
        <v>0</v>
      </c>
      <c r="Y95" s="190">
        <f>'400'!Y95+'404'!Y95+'411'!Y95+'425'!Y95+'426'!Y95</f>
        <v>0</v>
      </c>
      <c r="Z95" s="49">
        <f t="shared" si="147"/>
        <v>0</v>
      </c>
      <c r="AA95" s="320">
        <f>'400'!AA95+'404'!AA95+'411'!AA95+'425'!AA95+'426'!AA95</f>
        <v>0</v>
      </c>
      <c r="AB95" s="108">
        <f t="shared" si="148"/>
        <v>0</v>
      </c>
      <c r="AC95" s="89">
        <f t="shared" si="149"/>
        <v>0</v>
      </c>
      <c r="AD95" s="92">
        <f t="shared" si="150"/>
        <v>0</v>
      </c>
      <c r="AE95" s="144"/>
      <c r="AF95" s="64">
        <f t="shared" si="134"/>
        <v>0</v>
      </c>
      <c r="AG95" s="27" t="e">
        <f>'400'!#REF!+#REF!+#REF!+#REF!+'404'!#REF!+#REF!+#REF!+#REF!+#REF!+#REF!+#REF!</f>
        <v>#REF!</v>
      </c>
      <c r="AH95" s="27" t="e">
        <f t="shared" si="151"/>
        <v>#REF!</v>
      </c>
      <c r="AI95" s="27">
        <f>'400'!AA95+'404'!AA95+'411'!AA95</f>
        <v>0</v>
      </c>
    </row>
    <row r="96" spans="1:35" customFormat="1">
      <c r="A96" s="2">
        <v>6303</v>
      </c>
      <c r="B96" s="2" t="s">
        <v>123</v>
      </c>
      <c r="C96" s="190">
        <f>'400'!C96+'404'!C96+'411'!C96+'425'!C96+'426'!C96</f>
        <v>0</v>
      </c>
      <c r="D96" s="49">
        <f t="shared" si="136"/>
        <v>0</v>
      </c>
      <c r="E96" s="190">
        <f>'400'!E96+'404'!E96+'411'!E96+'425'!E96+'426'!E96</f>
        <v>0</v>
      </c>
      <c r="F96" s="49">
        <f t="shared" si="137"/>
        <v>0</v>
      </c>
      <c r="G96" s="190">
        <f>'400'!G96+'404'!G96+'411'!G96+'425'!G96+'426'!G96</f>
        <v>0</v>
      </c>
      <c r="H96" s="49">
        <f t="shared" si="138"/>
        <v>0</v>
      </c>
      <c r="I96" s="190">
        <f>'400'!I96+'404'!I96+'411'!I96+'425'!I96+'426'!I96</f>
        <v>0</v>
      </c>
      <c r="J96" s="49">
        <f t="shared" si="139"/>
        <v>0</v>
      </c>
      <c r="K96" s="190">
        <f>'400'!K96+'404'!K96+'411'!K96+'425'!K96+'426'!K96</f>
        <v>0</v>
      </c>
      <c r="L96" s="49">
        <f t="shared" si="140"/>
        <v>0</v>
      </c>
      <c r="M96" s="190">
        <f>'400'!M96+'404'!M96+'411'!M96+'425'!M96+'426'!M96</f>
        <v>0</v>
      </c>
      <c r="N96" s="49">
        <f t="shared" si="141"/>
        <v>0</v>
      </c>
      <c r="O96" s="190">
        <f>'400'!O96+'404'!O96+'411'!O96+'425'!O96+'426'!O96</f>
        <v>0</v>
      </c>
      <c r="P96" s="49">
        <f t="shared" si="142"/>
        <v>0</v>
      </c>
      <c r="Q96" s="190">
        <f>'400'!Q96+'404'!Q96+'411'!Q96+'425'!Q96+'426'!Q96</f>
        <v>0</v>
      </c>
      <c r="R96" s="49">
        <f t="shared" si="143"/>
        <v>0</v>
      </c>
      <c r="S96" s="190">
        <f>'400'!S96+'404'!S96+'411'!S96+'425'!S96+'426'!S96</f>
        <v>0</v>
      </c>
      <c r="T96" s="49">
        <f t="shared" si="144"/>
        <v>0</v>
      </c>
      <c r="U96" s="190">
        <f>'400'!U96+'404'!U96+'411'!U96+'425'!U96+'426'!U96</f>
        <v>0</v>
      </c>
      <c r="V96" s="49">
        <f t="shared" si="145"/>
        <v>0</v>
      </c>
      <c r="W96" s="190">
        <f>'400'!W96+'404'!W96+'411'!W96+'425'!W96+'426'!W96</f>
        <v>0</v>
      </c>
      <c r="X96" s="49">
        <f t="shared" si="146"/>
        <v>0</v>
      </c>
      <c r="Y96" s="190">
        <f>'400'!Y96+'404'!Y96+'411'!Y96+'425'!Y96+'426'!Y96</f>
        <v>0</v>
      </c>
      <c r="Z96" s="49">
        <f t="shared" si="147"/>
        <v>0</v>
      </c>
      <c r="AA96" s="320">
        <f>'400'!AA96+'404'!AA96+'411'!AA96+'425'!AA96+'426'!AA96</f>
        <v>0</v>
      </c>
      <c r="AB96" s="108">
        <f t="shared" si="148"/>
        <v>0</v>
      </c>
      <c r="AC96" s="89">
        <f t="shared" si="149"/>
        <v>0</v>
      </c>
      <c r="AD96" s="92">
        <f t="shared" si="150"/>
        <v>0</v>
      </c>
      <c r="AE96" s="144"/>
      <c r="AF96" s="64">
        <f t="shared" si="134"/>
        <v>0</v>
      </c>
      <c r="AG96" s="27" t="e">
        <f>'400'!#REF!+#REF!+#REF!+#REF!+'404'!#REF!+#REF!+#REF!+#REF!+#REF!+#REF!+#REF!</f>
        <v>#REF!</v>
      </c>
      <c r="AH96" s="27" t="e">
        <f t="shared" si="151"/>
        <v>#REF!</v>
      </c>
      <c r="AI96" s="27">
        <f>'400'!AA96+'404'!AA96+'411'!AA96</f>
        <v>0</v>
      </c>
    </row>
    <row r="97" spans="1:35" customFormat="1">
      <c r="A97" s="2">
        <v>6304</v>
      </c>
      <c r="B97" s="2" t="s">
        <v>38</v>
      </c>
      <c r="C97" s="190">
        <f>'400'!C97+'404'!C97+'411'!C97+'425'!C97+'426'!C97</f>
        <v>0</v>
      </c>
      <c r="D97" s="49">
        <f t="shared" si="136"/>
        <v>0</v>
      </c>
      <c r="E97" s="190">
        <f>'400'!E97+'404'!E97+'411'!E97+'425'!E97+'426'!E97</f>
        <v>0</v>
      </c>
      <c r="F97" s="49">
        <f t="shared" si="137"/>
        <v>0</v>
      </c>
      <c r="G97" s="190">
        <f>'400'!G97+'404'!G97+'411'!G97+'425'!G97+'426'!G97</f>
        <v>0</v>
      </c>
      <c r="H97" s="49">
        <f t="shared" si="138"/>
        <v>0</v>
      </c>
      <c r="I97" s="190">
        <f>'400'!I97+'404'!I97+'411'!I97+'425'!I97+'426'!I97</f>
        <v>0</v>
      </c>
      <c r="J97" s="49">
        <f t="shared" si="139"/>
        <v>0</v>
      </c>
      <c r="K97" s="190">
        <f>'400'!K97+'404'!K97+'411'!K97+'425'!K97+'426'!K97</f>
        <v>0</v>
      </c>
      <c r="L97" s="49">
        <f t="shared" si="140"/>
        <v>0</v>
      </c>
      <c r="M97" s="190">
        <f>'400'!M97+'404'!M97+'411'!M97+'425'!M97+'426'!M97</f>
        <v>0</v>
      </c>
      <c r="N97" s="49">
        <f t="shared" si="141"/>
        <v>0</v>
      </c>
      <c r="O97" s="190">
        <f>'400'!O97+'404'!O97+'411'!O97+'425'!O97+'426'!O97</f>
        <v>0</v>
      </c>
      <c r="P97" s="49">
        <f t="shared" si="142"/>
        <v>0</v>
      </c>
      <c r="Q97" s="190">
        <f>'400'!Q97+'404'!Q97+'411'!Q97+'425'!Q97+'426'!Q97</f>
        <v>0</v>
      </c>
      <c r="R97" s="49">
        <f t="shared" si="143"/>
        <v>0</v>
      </c>
      <c r="S97" s="190">
        <f>'400'!S97+'404'!S97+'411'!S97+'425'!S97+'426'!S97</f>
        <v>0</v>
      </c>
      <c r="T97" s="49">
        <f t="shared" si="144"/>
        <v>0</v>
      </c>
      <c r="U97" s="190">
        <f>'400'!U97+'404'!U97+'411'!U97+'425'!U97+'426'!U97</f>
        <v>0</v>
      </c>
      <c r="V97" s="49">
        <f t="shared" si="145"/>
        <v>0</v>
      </c>
      <c r="W97" s="190">
        <f>'400'!W97+'404'!W97+'411'!W97+'425'!W97+'426'!W97</f>
        <v>0</v>
      </c>
      <c r="X97" s="49">
        <f t="shared" si="146"/>
        <v>0</v>
      </c>
      <c r="Y97" s="190">
        <f>'400'!Y97+'404'!Y97+'411'!Y97+'425'!Y97+'426'!Y97</f>
        <v>0</v>
      </c>
      <c r="Z97" s="49">
        <f t="shared" si="147"/>
        <v>0</v>
      </c>
      <c r="AA97" s="320">
        <f>'400'!AA97+'404'!AA97+'411'!AA97+'425'!AA97+'426'!AA97</f>
        <v>0</v>
      </c>
      <c r="AB97" s="108">
        <f t="shared" si="148"/>
        <v>0</v>
      </c>
      <c r="AC97" s="89">
        <f t="shared" si="149"/>
        <v>0</v>
      </c>
      <c r="AD97" s="92">
        <f t="shared" si="150"/>
        <v>0</v>
      </c>
      <c r="AE97" s="144"/>
      <c r="AF97" s="64">
        <f t="shared" si="134"/>
        <v>0</v>
      </c>
      <c r="AG97" s="27" t="e">
        <f>'400'!#REF!+#REF!+#REF!+#REF!+'404'!#REF!+#REF!+#REF!+#REF!+#REF!+#REF!+#REF!</f>
        <v>#REF!</v>
      </c>
      <c r="AH97" s="27" t="e">
        <f t="shared" si="151"/>
        <v>#REF!</v>
      </c>
      <c r="AI97" s="27">
        <f>'400'!AA97+'404'!AA97+'411'!AA97</f>
        <v>0</v>
      </c>
    </row>
    <row r="98" spans="1:35" customFormat="1">
      <c r="A98" s="2">
        <v>6305</v>
      </c>
      <c r="B98" s="2" t="s">
        <v>39</v>
      </c>
      <c r="C98" s="190">
        <f>'400'!C98+'404'!C98+'411'!C98+'425'!C98+'426'!C98</f>
        <v>0</v>
      </c>
      <c r="D98" s="49">
        <f t="shared" si="136"/>
        <v>0</v>
      </c>
      <c r="E98" s="190">
        <f>'400'!E98+'404'!E98+'411'!E98+'425'!E98+'426'!E98</f>
        <v>0</v>
      </c>
      <c r="F98" s="49">
        <f t="shared" si="137"/>
        <v>0</v>
      </c>
      <c r="G98" s="190">
        <f>'400'!G98+'404'!G98+'411'!G98+'425'!G98+'426'!G98</f>
        <v>0</v>
      </c>
      <c r="H98" s="49">
        <f t="shared" si="138"/>
        <v>0</v>
      </c>
      <c r="I98" s="190">
        <f>'400'!I98+'404'!I98+'411'!I98+'425'!I98+'426'!I98</f>
        <v>0</v>
      </c>
      <c r="J98" s="49">
        <f t="shared" si="139"/>
        <v>0</v>
      </c>
      <c r="K98" s="190">
        <f>'400'!K98+'404'!K98+'411'!K98+'425'!K98+'426'!K98</f>
        <v>0</v>
      </c>
      <c r="L98" s="49">
        <f t="shared" si="140"/>
        <v>0</v>
      </c>
      <c r="M98" s="190">
        <f>'400'!M98+'404'!M98+'411'!M98+'425'!M98+'426'!M98</f>
        <v>0</v>
      </c>
      <c r="N98" s="49">
        <f t="shared" si="141"/>
        <v>0</v>
      </c>
      <c r="O98" s="190">
        <f>'400'!O98+'404'!O98+'411'!O98+'425'!O98+'426'!O98</f>
        <v>0</v>
      </c>
      <c r="P98" s="49">
        <f t="shared" si="142"/>
        <v>0</v>
      </c>
      <c r="Q98" s="190">
        <f>'400'!Q98+'404'!Q98+'411'!Q98+'425'!Q98+'426'!Q98</f>
        <v>0</v>
      </c>
      <c r="R98" s="49">
        <f t="shared" si="143"/>
        <v>0</v>
      </c>
      <c r="S98" s="190">
        <f>'400'!S98+'404'!S98+'411'!S98+'425'!S98+'426'!S98</f>
        <v>0</v>
      </c>
      <c r="T98" s="49">
        <f t="shared" si="144"/>
        <v>0</v>
      </c>
      <c r="U98" s="190">
        <f>'400'!U98+'404'!U98+'411'!U98+'425'!U98+'426'!U98</f>
        <v>0</v>
      </c>
      <c r="V98" s="49">
        <f t="shared" si="145"/>
        <v>0</v>
      </c>
      <c r="W98" s="190">
        <f>'400'!W98+'404'!W98+'411'!W98+'425'!W98+'426'!W98</f>
        <v>0</v>
      </c>
      <c r="X98" s="49">
        <f t="shared" si="146"/>
        <v>0</v>
      </c>
      <c r="Y98" s="190">
        <f>'400'!Y98+'404'!Y98+'411'!Y98+'425'!Y98+'426'!Y98</f>
        <v>0</v>
      </c>
      <c r="Z98" s="49">
        <f t="shared" si="147"/>
        <v>0</v>
      </c>
      <c r="AA98" s="320">
        <f>'400'!AA98+'404'!AA98+'411'!AA98+'425'!AA98+'426'!AA98</f>
        <v>0</v>
      </c>
      <c r="AB98" s="108">
        <f t="shared" si="148"/>
        <v>0</v>
      </c>
      <c r="AC98" s="89">
        <f t="shared" si="149"/>
        <v>0</v>
      </c>
      <c r="AD98" s="92">
        <f t="shared" si="150"/>
        <v>0</v>
      </c>
      <c r="AE98" s="144"/>
      <c r="AF98" s="64">
        <f t="shared" si="134"/>
        <v>0</v>
      </c>
      <c r="AG98" s="27" t="e">
        <f>'400'!#REF!+#REF!+#REF!+#REF!+'404'!#REF!+#REF!+#REF!+#REF!+#REF!+#REF!+#REF!</f>
        <v>#REF!</v>
      </c>
      <c r="AH98" s="27" t="e">
        <f t="shared" si="151"/>
        <v>#REF!</v>
      </c>
      <c r="AI98" s="27">
        <f>'400'!AA98+'404'!AA98+'411'!AA98</f>
        <v>0</v>
      </c>
    </row>
    <row r="99" spans="1:35" customFormat="1">
      <c r="A99" s="2">
        <v>6306</v>
      </c>
      <c r="B99" s="2" t="s">
        <v>40</v>
      </c>
      <c r="C99" s="190">
        <f>'400'!C99+'404'!C99+'411'!C99+'425'!C99+'426'!C99</f>
        <v>0</v>
      </c>
      <c r="D99" s="49">
        <f t="shared" si="136"/>
        <v>0</v>
      </c>
      <c r="E99" s="190">
        <f>'400'!E99+'404'!E99+'411'!E99+'425'!E99+'426'!E99</f>
        <v>0</v>
      </c>
      <c r="F99" s="49">
        <f t="shared" si="137"/>
        <v>0</v>
      </c>
      <c r="G99" s="190">
        <f>'400'!G99+'404'!G99+'411'!G99+'425'!G99+'426'!G99</f>
        <v>0</v>
      </c>
      <c r="H99" s="49">
        <f t="shared" si="138"/>
        <v>0</v>
      </c>
      <c r="I99" s="190">
        <f>'400'!I99+'404'!I99+'411'!I99+'425'!I99+'426'!I99</f>
        <v>0</v>
      </c>
      <c r="J99" s="49">
        <f t="shared" si="139"/>
        <v>0</v>
      </c>
      <c r="K99" s="190">
        <f>'400'!K99+'404'!K99+'411'!K99+'425'!K99+'426'!K99</f>
        <v>0</v>
      </c>
      <c r="L99" s="49">
        <f t="shared" si="140"/>
        <v>0</v>
      </c>
      <c r="M99" s="190">
        <f>'400'!M99+'404'!M99+'411'!M99+'425'!M99+'426'!M99</f>
        <v>0</v>
      </c>
      <c r="N99" s="49">
        <f t="shared" si="141"/>
        <v>0</v>
      </c>
      <c r="O99" s="190">
        <f>'400'!O99+'404'!O99+'411'!O99+'425'!O99+'426'!O99</f>
        <v>0</v>
      </c>
      <c r="P99" s="49">
        <f t="shared" si="142"/>
        <v>0</v>
      </c>
      <c r="Q99" s="190">
        <f>'400'!Q99+'404'!Q99+'411'!Q99+'425'!Q99+'426'!Q99</f>
        <v>0</v>
      </c>
      <c r="R99" s="49">
        <f t="shared" si="143"/>
        <v>0</v>
      </c>
      <c r="S99" s="190">
        <f>'400'!S99+'404'!S99+'411'!S99+'425'!S99+'426'!S99</f>
        <v>0</v>
      </c>
      <c r="T99" s="49">
        <f t="shared" si="144"/>
        <v>0</v>
      </c>
      <c r="U99" s="190">
        <f>'400'!U99+'404'!U99+'411'!U99+'425'!U99+'426'!U99</f>
        <v>0</v>
      </c>
      <c r="V99" s="49">
        <f t="shared" si="145"/>
        <v>0</v>
      </c>
      <c r="W99" s="190">
        <f>'400'!W99+'404'!W99+'411'!W99+'425'!W99+'426'!W99</f>
        <v>0</v>
      </c>
      <c r="X99" s="49">
        <f t="shared" si="146"/>
        <v>0</v>
      </c>
      <c r="Y99" s="190">
        <f>'400'!Y99+'404'!Y99+'411'!Y99+'425'!Y99+'426'!Y99</f>
        <v>0</v>
      </c>
      <c r="Z99" s="49">
        <f t="shared" si="147"/>
        <v>0</v>
      </c>
      <c r="AA99" s="320">
        <f>'400'!AA99+'404'!AA99+'411'!AA99+'425'!AA99+'426'!AA99</f>
        <v>0</v>
      </c>
      <c r="AB99" s="108">
        <f t="shared" si="148"/>
        <v>0</v>
      </c>
      <c r="AC99" s="89">
        <f t="shared" si="149"/>
        <v>0</v>
      </c>
      <c r="AD99" s="92">
        <f t="shared" si="150"/>
        <v>0</v>
      </c>
      <c r="AE99" s="144"/>
      <c r="AF99" s="64">
        <f t="shared" si="134"/>
        <v>0</v>
      </c>
      <c r="AG99" s="27" t="e">
        <f>'400'!#REF!+#REF!+#REF!+#REF!+'404'!#REF!+#REF!+#REF!+#REF!+#REF!+#REF!+#REF!</f>
        <v>#REF!</v>
      </c>
      <c r="AH99" s="27" t="e">
        <f t="shared" si="151"/>
        <v>#REF!</v>
      </c>
      <c r="AI99" s="27">
        <f>'400'!AA99+'404'!AA99+'411'!AA99</f>
        <v>0</v>
      </c>
    </row>
    <row r="100" spans="1:35" s="289" customFormat="1">
      <c r="A100" s="2">
        <v>6307</v>
      </c>
      <c r="B100" s="2" t="s">
        <v>240</v>
      </c>
      <c r="C100" s="190">
        <f>'400'!C100+'404'!C100+'411'!C100+'425'!C100+'426'!C100</f>
        <v>0</v>
      </c>
      <c r="D100" s="49">
        <f t="shared" si="136"/>
        <v>0</v>
      </c>
      <c r="E100" s="190">
        <f>'400'!E100+'404'!E100+'411'!E100+'425'!E100+'426'!E100</f>
        <v>348.46999999999997</v>
      </c>
      <c r="F100" s="49">
        <f t="shared" si="137"/>
        <v>6.5279709033167637E-4</v>
      </c>
      <c r="G100" s="190">
        <f>'400'!G100+'404'!G100+'411'!G100+'425'!G100+'426'!G100</f>
        <v>348.46999999999997</v>
      </c>
      <c r="H100" s="49">
        <f t="shared" si="138"/>
        <v>3.935404298221849E-4</v>
      </c>
      <c r="I100" s="190">
        <f>'400'!I100+'404'!I100+'411'!I100+'425'!I100+'426'!I100</f>
        <v>1198.1499999999999</v>
      </c>
      <c r="J100" s="49">
        <f t="shared" si="139"/>
        <v>1.5324180856610729E-3</v>
      </c>
      <c r="K100" s="190">
        <f>'400'!K100+'404'!K100+'411'!K100+'425'!K100+'426'!K100</f>
        <v>348.46999999999997</v>
      </c>
      <c r="L100" s="49">
        <f t="shared" si="140"/>
        <v>4.8730333852636213E-4</v>
      </c>
      <c r="M100" s="190">
        <f>'400'!M100+'404'!M100+'411'!M100+'425'!M100+'426'!M100</f>
        <v>0</v>
      </c>
      <c r="N100" s="49">
        <f t="shared" si="141"/>
        <v>0</v>
      </c>
      <c r="O100" s="190">
        <f>'400'!O100+'404'!O100+'411'!O100+'425'!O100+'426'!O100</f>
        <v>348.84</v>
      </c>
      <c r="P100" s="49">
        <f t="shared" si="142"/>
        <v>5.4338637931554618E-4</v>
      </c>
      <c r="Q100" s="190">
        <f>'400'!Q100+'404'!Q100+'411'!Q100+'425'!Q100+'426'!Q100</f>
        <v>348.84</v>
      </c>
      <c r="R100" s="49">
        <f t="shared" si="143"/>
        <v>4.3760110800551824E-4</v>
      </c>
      <c r="S100" s="190">
        <f>'400'!S100+'404'!S100+'411'!S100+'425'!S100+'426'!S100</f>
        <v>348.84</v>
      </c>
      <c r="T100" s="49">
        <f t="shared" si="144"/>
        <v>4.343955831983586E-4</v>
      </c>
      <c r="U100" s="190">
        <f>'400'!U100+'404'!U100+'411'!U100+'425'!U100+'426'!U100</f>
        <v>348.84</v>
      </c>
      <c r="V100" s="49">
        <f t="shared" si="145"/>
        <v>5.47644991778341E-4</v>
      </c>
      <c r="W100" s="190">
        <f>'400'!W100+'404'!W100+'411'!W100+'425'!W100+'426'!W100</f>
        <v>348.84</v>
      </c>
      <c r="X100" s="49">
        <f t="shared" si="146"/>
        <v>5.3825696710492477E-4</v>
      </c>
      <c r="Y100" s="190">
        <f>'400'!Y100+'404'!Y100+'411'!Y100+'425'!Y100+'426'!Y100</f>
        <v>348.84</v>
      </c>
      <c r="Z100" s="49">
        <f t="shared" si="147"/>
        <v>3.5630500997003994E-4</v>
      </c>
      <c r="AA100" s="320">
        <f>'400'!AA100+'404'!AA100+'411'!AA100+'425'!AA100+'426'!AA100</f>
        <v>4336.6000000000004</v>
      </c>
      <c r="AB100" s="108">
        <f t="shared" si="148"/>
        <v>4.7536407909995622E-4</v>
      </c>
      <c r="AC100" s="89">
        <f t="shared" si="149"/>
        <v>361.38333333333338</v>
      </c>
      <c r="AD100" s="92">
        <f t="shared" si="150"/>
        <v>4.7536407909995639E-4</v>
      </c>
      <c r="AE100" s="144"/>
      <c r="AF100" s="64"/>
      <c r="AG100" s="27"/>
      <c r="AH100" s="27"/>
      <c r="AI100" s="27"/>
    </row>
    <row r="101" spans="1:35" s="1" customFormat="1">
      <c r="A101" s="2">
        <v>6308</v>
      </c>
      <c r="B101" s="2" t="s">
        <v>142</v>
      </c>
      <c r="C101" s="190">
        <f>'400'!C101+'404'!C101+'411'!C101+'425'!C101+'426'!C101</f>
        <v>0</v>
      </c>
      <c r="D101" s="49">
        <f t="shared" si="136"/>
        <v>0</v>
      </c>
      <c r="E101" s="190">
        <f>'400'!E101+'404'!E101+'411'!E101+'425'!E101+'426'!E101</f>
        <v>0</v>
      </c>
      <c r="F101" s="49">
        <f t="shared" si="137"/>
        <v>0</v>
      </c>
      <c r="G101" s="190">
        <f>'400'!G101+'404'!G101+'411'!G101+'425'!G101+'426'!G101</f>
        <v>0</v>
      </c>
      <c r="H101" s="49">
        <f t="shared" si="138"/>
        <v>0</v>
      </c>
      <c r="I101" s="190">
        <f>'400'!I101+'404'!I101+'411'!I101+'425'!I101+'426'!I101</f>
        <v>0</v>
      </c>
      <c r="J101" s="49">
        <f t="shared" si="139"/>
        <v>0</v>
      </c>
      <c r="K101" s="190">
        <f>'400'!K101+'404'!K101+'411'!K101+'425'!K101+'426'!K101</f>
        <v>0</v>
      </c>
      <c r="L101" s="49">
        <f t="shared" si="140"/>
        <v>0</v>
      </c>
      <c r="M101" s="190">
        <f>'400'!M101+'404'!M101+'411'!M101+'425'!M101+'426'!M101</f>
        <v>0</v>
      </c>
      <c r="N101" s="49">
        <f t="shared" si="141"/>
        <v>0</v>
      </c>
      <c r="O101" s="190">
        <f>'400'!O101+'404'!O101+'411'!O101+'425'!O101+'426'!O101</f>
        <v>0</v>
      </c>
      <c r="P101" s="49">
        <f t="shared" si="142"/>
        <v>0</v>
      </c>
      <c r="Q101" s="190">
        <f>'400'!Q101+'404'!Q101+'411'!Q101+'425'!Q101+'426'!Q101</f>
        <v>0</v>
      </c>
      <c r="R101" s="49">
        <f t="shared" si="143"/>
        <v>0</v>
      </c>
      <c r="S101" s="190">
        <f>'400'!S101+'404'!S101+'411'!S101+'425'!S101+'426'!S101</f>
        <v>0</v>
      </c>
      <c r="T101" s="49">
        <f t="shared" si="144"/>
        <v>0</v>
      </c>
      <c r="U101" s="190">
        <f>'400'!U101+'404'!U101+'411'!U101+'425'!U101+'426'!U101</f>
        <v>0</v>
      </c>
      <c r="V101" s="49">
        <f t="shared" si="145"/>
        <v>0</v>
      </c>
      <c r="W101" s="190">
        <f>'400'!W101+'404'!W101+'411'!W101+'425'!W101+'426'!W101</f>
        <v>0</v>
      </c>
      <c r="X101" s="49">
        <f t="shared" si="146"/>
        <v>0</v>
      </c>
      <c r="Y101" s="190">
        <f>'400'!Y101+'404'!Y101+'411'!Y101+'425'!Y101+'426'!Y101</f>
        <v>0</v>
      </c>
      <c r="Z101" s="49">
        <f t="shared" si="147"/>
        <v>0</v>
      </c>
      <c r="AA101" s="320">
        <f>'400'!AA101+'404'!AA101+'411'!AA101+'425'!AA101+'426'!AA101</f>
        <v>0</v>
      </c>
      <c r="AB101" s="108">
        <f t="shared" si="148"/>
        <v>0</v>
      </c>
      <c r="AC101" s="89">
        <f t="shared" si="149"/>
        <v>0</v>
      </c>
      <c r="AD101" s="92">
        <f t="shared" si="150"/>
        <v>0</v>
      </c>
      <c r="AE101" s="144"/>
      <c r="AF101" s="64">
        <f t="shared" si="134"/>
        <v>0</v>
      </c>
      <c r="AG101" s="27" t="e">
        <f>'400'!#REF!+#REF!+#REF!+#REF!+'404'!#REF!+#REF!+#REF!+#REF!+#REF!+#REF!+#REF!</f>
        <v>#REF!</v>
      </c>
      <c r="AH101" s="27" t="e">
        <f t="shared" si="151"/>
        <v>#REF!</v>
      </c>
      <c r="AI101" s="27">
        <f>'400'!AA101+'404'!AA101+'411'!AA101</f>
        <v>0</v>
      </c>
    </row>
    <row r="102" spans="1:35" s="1" customFormat="1">
      <c r="A102" s="2">
        <v>6309</v>
      </c>
      <c r="B102" s="2" t="s">
        <v>143</v>
      </c>
      <c r="C102" s="190">
        <f>'400'!C102+'404'!C102+'411'!C102+'425'!C102+'426'!C102</f>
        <v>1258.6775196600001</v>
      </c>
      <c r="D102" s="49">
        <f t="shared" si="136"/>
        <v>1.8344565682938099E-3</v>
      </c>
      <c r="E102" s="190">
        <f>'400'!E102+'404'!E102+'411'!E102+'425'!E102+'426'!E102</f>
        <v>1271.2642948566004</v>
      </c>
      <c r="F102" s="49">
        <f t="shared" si="137"/>
        <v>2.3814894617181941E-3</v>
      </c>
      <c r="G102" s="190">
        <f>'400'!G102+'404'!G102+'411'!G102+'425'!G102+'426'!G102</f>
        <v>641.98846890258301</v>
      </c>
      <c r="H102" s="49">
        <f t="shared" si="138"/>
        <v>7.2502200474304512E-4</v>
      </c>
      <c r="I102" s="190">
        <f>'400'!I102+'404'!I102+'411'!I102+'425'!I102+'426'!I102</f>
        <v>674.29478357946789</v>
      </c>
      <c r="J102" s="49">
        <f t="shared" si="139"/>
        <v>8.6241415634444416E-4</v>
      </c>
      <c r="K102" s="190">
        <f>'400'!K102+'404'!K102+'411'!K102+'425'!K102+'426'!K102</f>
        <v>1404.5852833550503</v>
      </c>
      <c r="L102" s="49">
        <f t="shared" si="140"/>
        <v>1.9641837111484847E-3</v>
      </c>
      <c r="M102" s="190">
        <f>'400'!M102+'404'!M102+'411'!M102+'425'!M102+'426'!M102</f>
        <v>718.73018558882757</v>
      </c>
      <c r="N102" s="49">
        <f t="shared" si="141"/>
        <v>7.08806817286583E-4</v>
      </c>
      <c r="O102" s="190">
        <f>'400'!O102+'404'!O102+'411'!O102+'425'!O102+'426'!O102</f>
        <v>770.5738578211874</v>
      </c>
      <c r="P102" s="49">
        <f t="shared" si="142"/>
        <v>1.2003191680904355E-3</v>
      </c>
      <c r="Q102" s="190">
        <f>'400'!Q102+'404'!Q102+'411'!Q102+'425'!Q102+'426'!Q102</f>
        <v>802.4678119674254</v>
      </c>
      <c r="R102" s="49">
        <f t="shared" si="143"/>
        <v>1.0066529172563618E-3</v>
      </c>
      <c r="S102" s="190">
        <f>'400'!S102+'404'!S102+'411'!S102+'425'!S102+'426'!S102</f>
        <v>1680.6962069447279</v>
      </c>
      <c r="T102" s="49">
        <f t="shared" si="144"/>
        <v>2.092899349257609E-3</v>
      </c>
      <c r="U102" s="190">
        <f>'400'!U102+'404'!U102+'411'!U102+'425'!U102+'426'!U102</f>
        <v>1737.1185030001323</v>
      </c>
      <c r="V102" s="49">
        <f t="shared" si="145"/>
        <v>2.7271076949131738E-3</v>
      </c>
      <c r="W102" s="190">
        <f>'400'!W102+'404'!W102+'411'!W102+'425'!W102+'426'!W102</f>
        <v>912.26712142870588</v>
      </c>
      <c r="X102" s="49">
        <f t="shared" si="146"/>
        <v>1.4076199230872474E-3</v>
      </c>
      <c r="Y102" s="190">
        <f>'400'!Y102+'404'!Y102+'411'!Y102+'425'!Y102+'426'!Y102</f>
        <v>958.17447042615936</v>
      </c>
      <c r="Z102" s="49">
        <f t="shared" si="147"/>
        <v>9.7867894805134291E-4</v>
      </c>
      <c r="AA102" s="320">
        <f>'400'!AA102+'404'!AA102+'411'!AA102+'425'!AA102+'426'!AA102</f>
        <v>12830.838507530865</v>
      </c>
      <c r="AB102" s="108">
        <f t="shared" si="148"/>
        <v>1.4064750567755076E-3</v>
      </c>
      <c r="AC102" s="89">
        <f t="shared" si="149"/>
        <v>1069.2365422942387</v>
      </c>
      <c r="AD102" s="92">
        <f t="shared" si="150"/>
        <v>1.4064750567755078E-3</v>
      </c>
      <c r="AE102" s="144"/>
      <c r="AF102" s="64">
        <f t="shared" si="134"/>
        <v>12830.838507530869</v>
      </c>
      <c r="AG102" s="27" t="e">
        <f>'400'!#REF!+#REF!+#REF!+#REF!+'404'!#REF!+#REF!+#REF!+#REF!+#REF!+#REF!+#REF!</f>
        <v>#REF!</v>
      </c>
      <c r="AH102" s="27" t="e">
        <f t="shared" si="151"/>
        <v>#REF!</v>
      </c>
      <c r="AI102" s="27">
        <f>'400'!AA102+'404'!AA102+'411'!AA102</f>
        <v>8981.5869552716067</v>
      </c>
    </row>
    <row r="103" spans="1:35" s="1" customFormat="1">
      <c r="A103" s="2">
        <v>6310</v>
      </c>
      <c r="B103" s="2" t="s">
        <v>144</v>
      </c>
      <c r="C103" s="190">
        <f>'400'!C103+'404'!C103+'411'!C103+'425'!C103+'426'!C103</f>
        <v>0</v>
      </c>
      <c r="D103" s="49">
        <f t="shared" si="136"/>
        <v>0</v>
      </c>
      <c r="E103" s="190">
        <f>'400'!E103+'404'!E103+'411'!E103+'425'!E103+'426'!E103</f>
        <v>0</v>
      </c>
      <c r="F103" s="49">
        <f t="shared" si="137"/>
        <v>0</v>
      </c>
      <c r="G103" s="190">
        <f>'400'!G103+'404'!G103+'411'!G103+'425'!G103+'426'!G103</f>
        <v>0</v>
      </c>
      <c r="H103" s="49">
        <f t="shared" si="138"/>
        <v>0</v>
      </c>
      <c r="I103" s="190">
        <f>'400'!I103+'404'!I103+'411'!I103+'425'!I103+'426'!I103</f>
        <v>0</v>
      </c>
      <c r="J103" s="49">
        <f t="shared" si="139"/>
        <v>0</v>
      </c>
      <c r="K103" s="190">
        <f>'400'!K103+'404'!K103+'411'!K103+'425'!K103+'426'!K103</f>
        <v>0</v>
      </c>
      <c r="L103" s="49">
        <f t="shared" si="140"/>
        <v>0</v>
      </c>
      <c r="M103" s="190">
        <f>'400'!M103+'404'!M103+'411'!M103+'425'!M103+'426'!M103</f>
        <v>0</v>
      </c>
      <c r="N103" s="49">
        <f t="shared" si="141"/>
        <v>0</v>
      </c>
      <c r="O103" s="190">
        <f>'400'!O103+'404'!O103+'411'!O103+'425'!O103+'426'!O103</f>
        <v>0</v>
      </c>
      <c r="P103" s="49">
        <f t="shared" si="142"/>
        <v>0</v>
      </c>
      <c r="Q103" s="190">
        <f>'400'!Q103+'404'!Q103+'411'!Q103+'425'!Q103+'426'!Q103</f>
        <v>0</v>
      </c>
      <c r="R103" s="49">
        <f t="shared" si="143"/>
        <v>0</v>
      </c>
      <c r="S103" s="190">
        <f>'400'!S103+'404'!S103+'411'!S103+'425'!S103+'426'!S103</f>
        <v>0</v>
      </c>
      <c r="T103" s="49">
        <f t="shared" si="144"/>
        <v>0</v>
      </c>
      <c r="U103" s="190">
        <f>'400'!U103+'404'!U103+'411'!U103+'425'!U103+'426'!U103</f>
        <v>0</v>
      </c>
      <c r="V103" s="49">
        <f t="shared" si="145"/>
        <v>0</v>
      </c>
      <c r="W103" s="190">
        <f>'400'!W103+'404'!W103+'411'!W103+'425'!W103+'426'!W103</f>
        <v>0</v>
      </c>
      <c r="X103" s="49">
        <f t="shared" si="146"/>
        <v>0</v>
      </c>
      <c r="Y103" s="190">
        <f>'400'!Y103+'404'!Y103+'411'!Y103+'425'!Y103+'426'!Y103</f>
        <v>0</v>
      </c>
      <c r="Z103" s="49">
        <f t="shared" si="147"/>
        <v>0</v>
      </c>
      <c r="AA103" s="320">
        <f>'400'!AA103+'404'!AA103+'411'!AA103+'425'!AA103+'426'!AA103</f>
        <v>0</v>
      </c>
      <c r="AB103" s="108">
        <f t="shared" si="148"/>
        <v>0</v>
      </c>
      <c r="AC103" s="89">
        <f t="shared" si="149"/>
        <v>0</v>
      </c>
      <c r="AD103" s="92">
        <f t="shared" si="150"/>
        <v>0</v>
      </c>
      <c r="AE103" s="144"/>
      <c r="AF103" s="64">
        <f t="shared" si="134"/>
        <v>0</v>
      </c>
      <c r="AG103" s="27" t="e">
        <f>'400'!#REF!+#REF!+#REF!+#REF!+'404'!#REF!+#REF!+#REF!+#REF!+#REF!+#REF!+#REF!</f>
        <v>#REF!</v>
      </c>
      <c r="AH103" s="27" t="e">
        <f t="shared" si="151"/>
        <v>#REF!</v>
      </c>
      <c r="AI103" s="27">
        <f>'400'!AA103+'404'!AA103+'411'!AA103</f>
        <v>0</v>
      </c>
    </row>
    <row r="104" spans="1:35" s="1" customFormat="1">
      <c r="A104" s="2">
        <v>6311</v>
      </c>
      <c r="B104" s="2" t="s">
        <v>145</v>
      </c>
      <c r="C104" s="190">
        <f>'400'!C104+'404'!C104+'411'!C104+'425'!C104+'426'!C104</f>
        <v>7858.5461689587419</v>
      </c>
      <c r="D104" s="49">
        <f t="shared" si="136"/>
        <v>1.1453419491261496E-2</v>
      </c>
      <c r="E104" s="190">
        <f>'400'!E104+'404'!E104+'411'!E104+'425'!E104+'426'!E104</f>
        <v>0</v>
      </c>
      <c r="F104" s="49">
        <f t="shared" si="137"/>
        <v>0</v>
      </c>
      <c r="G104" s="190">
        <f>'400'!G104+'404'!G104+'411'!G104+'425'!G104+'426'!G104</f>
        <v>0</v>
      </c>
      <c r="H104" s="49">
        <f t="shared" si="138"/>
        <v>0</v>
      </c>
      <c r="I104" s="190">
        <f>'400'!I104+'404'!I104+'411'!I104+'425'!I104+'426'!I104</f>
        <v>0</v>
      </c>
      <c r="J104" s="49">
        <f t="shared" si="139"/>
        <v>0</v>
      </c>
      <c r="K104" s="190">
        <f>'400'!K104+'404'!K104+'411'!K104+'425'!K104+'426'!K104</f>
        <v>0</v>
      </c>
      <c r="L104" s="49">
        <f t="shared" si="140"/>
        <v>0</v>
      </c>
      <c r="M104" s="190">
        <f>'400'!M104+'404'!M104+'411'!M104+'425'!M104+'426'!M104</f>
        <v>0</v>
      </c>
      <c r="N104" s="49">
        <f t="shared" si="141"/>
        <v>0</v>
      </c>
      <c r="O104" s="190">
        <f>'400'!O104+'404'!O104+'411'!O104+'425'!O104+'426'!O104</f>
        <v>0</v>
      </c>
      <c r="P104" s="49">
        <f t="shared" si="142"/>
        <v>0</v>
      </c>
      <c r="Q104" s="190">
        <f>'400'!Q104+'404'!Q104+'411'!Q104+'425'!Q104+'426'!Q104</f>
        <v>0</v>
      </c>
      <c r="R104" s="49">
        <f t="shared" si="143"/>
        <v>0</v>
      </c>
      <c r="S104" s="190">
        <f>'400'!S104+'404'!S104+'411'!S104+'425'!S104+'426'!S104</f>
        <v>0</v>
      </c>
      <c r="T104" s="49">
        <f t="shared" si="144"/>
        <v>0</v>
      </c>
      <c r="U104" s="190">
        <f>'400'!U104+'404'!U104+'411'!U104+'425'!U104+'426'!U104</f>
        <v>0</v>
      </c>
      <c r="V104" s="49">
        <f t="shared" si="145"/>
        <v>0</v>
      </c>
      <c r="W104" s="190">
        <f>'400'!W104+'404'!W104+'411'!W104+'425'!W104+'426'!W104</f>
        <v>0</v>
      </c>
      <c r="X104" s="49">
        <f t="shared" si="146"/>
        <v>0</v>
      </c>
      <c r="Y104" s="190">
        <f>'400'!Y104+'404'!Y104+'411'!Y104+'425'!Y104+'426'!Y104</f>
        <v>0</v>
      </c>
      <c r="Z104" s="49">
        <f t="shared" si="147"/>
        <v>0</v>
      </c>
      <c r="AA104" s="320">
        <f>'400'!AA104+'404'!AA104+'411'!AA104+'425'!AA104+'426'!AA104</f>
        <v>7858.5461689587419</v>
      </c>
      <c r="AB104" s="108">
        <f t="shared" si="148"/>
        <v>8.6142843764044669E-4</v>
      </c>
      <c r="AC104" s="89">
        <f t="shared" si="149"/>
        <v>654.87884741322853</v>
      </c>
      <c r="AD104" s="92">
        <f t="shared" si="150"/>
        <v>8.6142843764044691E-4</v>
      </c>
      <c r="AE104" s="144"/>
      <c r="AF104" s="64">
        <f t="shared" si="134"/>
        <v>7858.5461689587419</v>
      </c>
      <c r="AG104" s="27" t="e">
        <f>'400'!#REF!+#REF!+#REF!+#REF!+'404'!#REF!+#REF!+#REF!+#REF!+#REF!+#REF!+#REF!</f>
        <v>#REF!</v>
      </c>
      <c r="AH104" s="27" t="e">
        <f t="shared" si="151"/>
        <v>#REF!</v>
      </c>
      <c r="AI104" s="27">
        <f>'400'!AA104+'404'!AA104+'411'!AA104</f>
        <v>5500.9823182711198</v>
      </c>
    </row>
    <row r="105" spans="1:35" s="1" customFormat="1">
      <c r="A105" s="2">
        <v>6312</v>
      </c>
      <c r="B105" s="2" t="s">
        <v>146</v>
      </c>
      <c r="C105" s="190">
        <f>'400'!C105+'404'!C105+'411'!C105+'425'!C105+'426'!C105</f>
        <v>0</v>
      </c>
      <c r="D105" s="49">
        <f t="shared" si="136"/>
        <v>0</v>
      </c>
      <c r="E105" s="190">
        <f>'400'!E105+'404'!E105+'411'!E105+'425'!E105+'426'!E105</f>
        <v>0</v>
      </c>
      <c r="F105" s="49">
        <f t="shared" si="137"/>
        <v>0</v>
      </c>
      <c r="G105" s="190">
        <f>'400'!G105+'404'!G105+'411'!G105+'425'!G105+'426'!G105</f>
        <v>0</v>
      </c>
      <c r="H105" s="49">
        <f t="shared" si="138"/>
        <v>0</v>
      </c>
      <c r="I105" s="190">
        <f>'400'!I105+'404'!I105+'411'!I105+'425'!I105+'426'!I105</f>
        <v>0</v>
      </c>
      <c r="J105" s="49">
        <f t="shared" si="139"/>
        <v>0</v>
      </c>
      <c r="K105" s="190">
        <f>'400'!K105+'404'!K105+'411'!K105+'425'!K105+'426'!K105</f>
        <v>0</v>
      </c>
      <c r="L105" s="49">
        <f t="shared" si="140"/>
        <v>0</v>
      </c>
      <c r="M105" s="190">
        <f>'400'!M105+'404'!M105+'411'!M105+'425'!M105+'426'!M105</f>
        <v>0</v>
      </c>
      <c r="N105" s="49">
        <f t="shared" si="141"/>
        <v>0</v>
      </c>
      <c r="O105" s="190">
        <f>'400'!O105+'404'!O105+'411'!O105+'425'!O105+'426'!O105</f>
        <v>0</v>
      </c>
      <c r="P105" s="49">
        <f t="shared" si="142"/>
        <v>0</v>
      </c>
      <c r="Q105" s="190">
        <f>'400'!Q105+'404'!Q105+'411'!Q105+'425'!Q105+'426'!Q105</f>
        <v>0</v>
      </c>
      <c r="R105" s="49">
        <f t="shared" si="143"/>
        <v>0</v>
      </c>
      <c r="S105" s="190">
        <f>'400'!S105+'404'!S105+'411'!S105+'425'!S105+'426'!S105</f>
        <v>0</v>
      </c>
      <c r="T105" s="49">
        <f t="shared" si="144"/>
        <v>0</v>
      </c>
      <c r="U105" s="190">
        <f>'400'!U105+'404'!U105+'411'!U105+'425'!U105+'426'!U105</f>
        <v>0</v>
      </c>
      <c r="V105" s="49">
        <f t="shared" si="145"/>
        <v>0</v>
      </c>
      <c r="W105" s="190">
        <f>'400'!W105+'404'!W105+'411'!W105+'425'!W105+'426'!W105</f>
        <v>0</v>
      </c>
      <c r="X105" s="49">
        <f t="shared" si="146"/>
        <v>0</v>
      </c>
      <c r="Y105" s="190">
        <f>'400'!Y105+'404'!Y105+'411'!Y105+'425'!Y105+'426'!Y105</f>
        <v>0</v>
      </c>
      <c r="Z105" s="49">
        <f t="shared" si="147"/>
        <v>0</v>
      </c>
      <c r="AA105" s="320">
        <f>'400'!AA105+'404'!AA105+'411'!AA105+'425'!AA105+'426'!AA105</f>
        <v>0</v>
      </c>
      <c r="AB105" s="108">
        <f t="shared" si="148"/>
        <v>0</v>
      </c>
      <c r="AC105" s="89">
        <f t="shared" si="149"/>
        <v>0</v>
      </c>
      <c r="AD105" s="92">
        <f t="shared" si="150"/>
        <v>0</v>
      </c>
      <c r="AE105" s="144"/>
      <c r="AF105" s="64">
        <f t="shared" si="134"/>
        <v>0</v>
      </c>
      <c r="AG105" s="27" t="e">
        <f>'400'!#REF!+#REF!+#REF!+#REF!+'404'!#REF!+#REF!+#REF!+#REF!+#REF!+#REF!+#REF!</f>
        <v>#REF!</v>
      </c>
      <c r="AH105" s="27" t="e">
        <f t="shared" si="151"/>
        <v>#REF!</v>
      </c>
      <c r="AI105" s="27">
        <f>'400'!AA105+'404'!AA105+'411'!AA105</f>
        <v>0</v>
      </c>
    </row>
    <row r="106" spans="1:35" s="289" customFormat="1">
      <c r="A106" s="2">
        <v>6313</v>
      </c>
      <c r="B106" s="2" t="s">
        <v>147</v>
      </c>
      <c r="C106" s="190">
        <f>'400'!C106+'404'!C106+'411'!C106+'425'!C106+'426'!C106</f>
        <v>0</v>
      </c>
      <c r="D106" s="49">
        <f t="shared" si="136"/>
        <v>0</v>
      </c>
      <c r="E106" s="190">
        <f>'400'!E106+'404'!E106+'411'!E106+'425'!E106+'426'!E106</f>
        <v>0</v>
      </c>
      <c r="F106" s="49">
        <f t="shared" si="137"/>
        <v>0</v>
      </c>
      <c r="G106" s="190">
        <f>'400'!G106+'404'!G106+'411'!G106+'425'!G106+'426'!G106</f>
        <v>2232.5415252723701</v>
      </c>
      <c r="H106" s="49">
        <f t="shared" si="138"/>
        <v>2.5212940897396184E-3</v>
      </c>
      <c r="I106" s="190">
        <f>'400'!I106+'404'!I106+'411'!I106+'425'!I106+'426'!I106</f>
        <v>0</v>
      </c>
      <c r="J106" s="49">
        <f t="shared" si="139"/>
        <v>0</v>
      </c>
      <c r="K106" s="190">
        <f>'400'!K106+'404'!K106+'411'!K106+'425'!K106+'426'!K106</f>
        <v>2232.5415252723701</v>
      </c>
      <c r="L106" s="49">
        <f t="shared" si="140"/>
        <v>3.122004587665976E-3</v>
      </c>
      <c r="M106" s="190">
        <f>'400'!M106+'404'!M106+'411'!M106+'425'!M106+'426'!M106</f>
        <v>0</v>
      </c>
      <c r="N106" s="49">
        <f t="shared" si="141"/>
        <v>0</v>
      </c>
      <c r="O106" s="190">
        <f>'400'!O106+'404'!O106+'411'!O106+'425'!O106+'426'!O106</f>
        <v>0</v>
      </c>
      <c r="P106" s="49">
        <f t="shared" si="142"/>
        <v>0</v>
      </c>
      <c r="Q106" s="190">
        <f>'400'!Q106+'404'!Q106+'411'!Q106+'425'!Q106+'426'!Q106</f>
        <v>2232.5415252723701</v>
      </c>
      <c r="R106" s="49">
        <f t="shared" si="143"/>
        <v>2.800603844534798E-3</v>
      </c>
      <c r="S106" s="190">
        <f>'400'!S106+'404'!S106+'411'!S106+'425'!S106+'426'!S106</f>
        <v>0</v>
      </c>
      <c r="T106" s="49">
        <f t="shared" si="144"/>
        <v>0</v>
      </c>
      <c r="U106" s="190">
        <f>'400'!U106+'404'!U106+'411'!U106+'425'!U106+'426'!U106</f>
        <v>0</v>
      </c>
      <c r="V106" s="49">
        <f t="shared" si="145"/>
        <v>0</v>
      </c>
      <c r="W106" s="190">
        <f>'400'!W106+'404'!W106+'411'!W106+'425'!W106+'426'!W106</f>
        <v>0</v>
      </c>
      <c r="X106" s="49">
        <f t="shared" si="146"/>
        <v>0</v>
      </c>
      <c r="Y106" s="190">
        <f>'400'!Y106+'404'!Y106+'411'!Y106+'425'!Y106+'426'!Y106</f>
        <v>2232.5415252723701</v>
      </c>
      <c r="Z106" s="49">
        <f t="shared" si="147"/>
        <v>2.2803168513378627E-3</v>
      </c>
      <c r="AA106" s="320">
        <f>'400'!AA106+'404'!AA106+'411'!AA106+'425'!AA106+'426'!AA106</f>
        <v>8930.1661010894804</v>
      </c>
      <c r="AB106" s="108">
        <f t="shared" si="148"/>
        <v>9.7889595186414417E-4</v>
      </c>
      <c r="AC106" s="89">
        <f t="shared" si="149"/>
        <v>744.18050842412333</v>
      </c>
      <c r="AD106" s="92">
        <f t="shared" si="150"/>
        <v>9.7889595186414417E-4</v>
      </c>
      <c r="AE106" s="144"/>
      <c r="AF106" s="64"/>
      <c r="AG106" s="27"/>
      <c r="AH106" s="27"/>
      <c r="AI106" s="27"/>
    </row>
    <row r="107" spans="1:35" s="1" customFormat="1">
      <c r="A107" s="2">
        <v>6314</v>
      </c>
      <c r="B107" s="2" t="s">
        <v>211</v>
      </c>
      <c r="C107" s="190">
        <f>'400'!C107+'404'!C107+'411'!C107+'425'!C107+'426'!C107</f>
        <v>2583.4000000000005</v>
      </c>
      <c r="D107" s="49">
        <f t="shared" si="136"/>
        <v>3.765170208021501E-3</v>
      </c>
      <c r="E107" s="190">
        <f>'400'!E107+'404'!E107+'411'!E107+'425'!E107+'426'!E107</f>
        <v>500</v>
      </c>
      <c r="F107" s="49">
        <f t="shared" si="137"/>
        <v>9.3666182215352319E-4</v>
      </c>
      <c r="G107" s="190">
        <f>'400'!G107+'404'!G107+'411'!G107+'425'!G107+'426'!G107</f>
        <v>2583.4000000000005</v>
      </c>
      <c r="H107" s="49">
        <f t="shared" si="138"/>
        <v>2.9175319149500182E-3</v>
      </c>
      <c r="I107" s="190">
        <f>'400'!I107+'404'!I107+'411'!I107+'425'!I107+'426'!I107</f>
        <v>0</v>
      </c>
      <c r="J107" s="49">
        <f t="shared" si="139"/>
        <v>0</v>
      </c>
      <c r="K107" s="190">
        <f>'400'!K107+'404'!K107+'411'!K107+'425'!K107+'426'!K107</f>
        <v>3083.4000000000005</v>
      </c>
      <c r="L107" s="49">
        <f t="shared" si="140"/>
        <v>4.3118521365173058E-3</v>
      </c>
      <c r="M107" s="190">
        <f>'400'!M107+'404'!M107+'411'!M107+'425'!M107+'426'!M107</f>
        <v>2583.4000000000005</v>
      </c>
      <c r="N107" s="49">
        <f t="shared" si="141"/>
        <v>2.5477314971514438E-3</v>
      </c>
      <c r="O107" s="190">
        <f>'400'!O107+'404'!O107+'411'!O107+'425'!O107+'426'!O107</f>
        <v>2583.4000000000005</v>
      </c>
      <c r="P107" s="49">
        <f t="shared" si="142"/>
        <v>4.0241496741307836E-3</v>
      </c>
      <c r="Q107" s="190">
        <f>'400'!Q107+'404'!Q107+'411'!Q107+'425'!Q107+'426'!Q107</f>
        <v>0</v>
      </c>
      <c r="R107" s="49">
        <f t="shared" si="143"/>
        <v>0</v>
      </c>
      <c r="S107" s="190">
        <f>'400'!S107+'404'!S107+'411'!S107+'425'!S107+'426'!S107</f>
        <v>3083.4000000000005</v>
      </c>
      <c r="T107" s="49">
        <f t="shared" si="144"/>
        <v>3.8396265945241921E-3</v>
      </c>
      <c r="U107" s="190">
        <f>'400'!U107+'404'!U107+'411'!U107+'425'!U107+'426'!U107</f>
        <v>500</v>
      </c>
      <c r="V107" s="49">
        <f t="shared" si="145"/>
        <v>7.8495154193661992E-4</v>
      </c>
      <c r="W107" s="190">
        <f>'400'!W107+'404'!W107+'411'!W107+'425'!W107+'426'!W107</f>
        <v>3083.4000000000005</v>
      </c>
      <c r="X107" s="49">
        <f t="shared" si="146"/>
        <v>4.7576583315311477E-3</v>
      </c>
      <c r="Y107" s="190">
        <f>'400'!Y107+'404'!Y107+'411'!Y107+'425'!Y107+'426'!Y107</f>
        <v>0</v>
      </c>
      <c r="Z107" s="49">
        <f t="shared" si="147"/>
        <v>0</v>
      </c>
      <c r="AA107" s="320">
        <f>'400'!AA107+'404'!AA107+'411'!AA107+'425'!AA107+'426'!AA107</f>
        <v>20583.800000000003</v>
      </c>
      <c r="AB107" s="108">
        <f t="shared" si="148"/>
        <v>2.2563296433560118E-3</v>
      </c>
      <c r="AC107" s="89">
        <f t="shared" si="149"/>
        <v>1715.3166666666668</v>
      </c>
      <c r="AD107" s="92">
        <f t="shared" si="150"/>
        <v>2.2563296433560118E-3</v>
      </c>
      <c r="AE107" s="144"/>
      <c r="AF107" s="64">
        <f t="shared" si="134"/>
        <v>20583.800000000007</v>
      </c>
      <c r="AG107" s="27" t="e">
        <f>'400'!#REF!+#REF!+#REF!+#REF!+'404'!#REF!+#REF!+#REF!+#REF!+#REF!+#REF!+#REF!</f>
        <v>#REF!</v>
      </c>
      <c r="AH107" s="27" t="e">
        <f t="shared" si="151"/>
        <v>#REF!</v>
      </c>
      <c r="AI107" s="27">
        <f>'400'!AA107+'404'!AA107+'411'!AA107</f>
        <v>14408.660000000002</v>
      </c>
    </row>
    <row r="108" spans="1:35" s="289" customFormat="1">
      <c r="A108" s="2">
        <v>6315</v>
      </c>
      <c r="B108" s="2" t="s">
        <v>241</v>
      </c>
      <c r="C108" s="190">
        <f>'400'!C108+'404'!C108+'411'!C108+'425'!C108+'426'!C108</f>
        <v>0</v>
      </c>
      <c r="D108" s="49">
        <f t="shared" si="136"/>
        <v>0</v>
      </c>
      <c r="E108" s="190">
        <f>'400'!E108+'404'!E108+'411'!E108+'425'!E108+'426'!E108</f>
        <v>3469.1</v>
      </c>
      <c r="F108" s="49">
        <f t="shared" si="137"/>
        <v>6.4987470544655744E-3</v>
      </c>
      <c r="G108" s="190">
        <f>'400'!G108+'404'!G108+'411'!G108+'425'!G108+'426'!G108</f>
        <v>4419.1000000000004</v>
      </c>
      <c r="H108" s="49">
        <f t="shared" si="138"/>
        <v>4.9906577709048633E-3</v>
      </c>
      <c r="I108" s="190">
        <f>'400'!I108+'404'!I108+'411'!I108+'425'!I108+'426'!I108</f>
        <v>3469.1</v>
      </c>
      <c r="J108" s="49">
        <f t="shared" si="139"/>
        <v>4.4369332562423976E-3</v>
      </c>
      <c r="K108" s="190">
        <f>'400'!K108+'404'!K108+'411'!K108+'425'!K108+'426'!K108</f>
        <v>950</v>
      </c>
      <c r="L108" s="49">
        <f t="shared" si="140"/>
        <v>1.3284878801619769E-3</v>
      </c>
      <c r="M108" s="190">
        <f>'400'!M108+'404'!M108+'411'!M108+'425'!M108+'426'!M108</f>
        <v>0</v>
      </c>
      <c r="N108" s="49">
        <f t="shared" si="141"/>
        <v>0</v>
      </c>
      <c r="O108" s="190">
        <f>'400'!O108+'404'!O108+'411'!O108+'425'!O108+'426'!O108</f>
        <v>650</v>
      </c>
      <c r="P108" s="49">
        <f t="shared" si="142"/>
        <v>1.0125018534431402E-3</v>
      </c>
      <c r="Q108" s="190">
        <f>'400'!Q108+'404'!Q108+'411'!Q108+'425'!Q108+'426'!Q108</f>
        <v>950</v>
      </c>
      <c r="R108" s="49">
        <f t="shared" si="143"/>
        <v>1.1917241503418255E-3</v>
      </c>
      <c r="S108" s="190">
        <f>'400'!S108+'404'!S108+'411'!S108+'425'!S108+'426'!S108</f>
        <v>0</v>
      </c>
      <c r="T108" s="49">
        <f t="shared" si="144"/>
        <v>0</v>
      </c>
      <c r="U108" s="190">
        <f>'400'!U108+'404'!U108+'411'!U108+'425'!U108+'426'!U108</f>
        <v>650</v>
      </c>
      <c r="V108" s="49">
        <f t="shared" si="145"/>
        <v>1.020437004517606E-3</v>
      </c>
      <c r="W108" s="190">
        <f>'400'!W108+'404'!W108+'411'!W108+'425'!W108+'426'!W108</f>
        <v>0</v>
      </c>
      <c r="X108" s="49">
        <f t="shared" si="146"/>
        <v>0</v>
      </c>
      <c r="Y108" s="190">
        <f>'400'!Y108+'404'!Y108+'411'!Y108+'425'!Y108+'426'!Y108</f>
        <v>950</v>
      </c>
      <c r="Z108" s="49">
        <f t="shared" si="147"/>
        <v>9.7032954784869265E-4</v>
      </c>
      <c r="AA108" s="320">
        <f>'400'!AA108+'404'!AA108+'411'!AA108+'425'!AA108+'426'!AA108</f>
        <v>15507.3</v>
      </c>
      <c r="AB108" s="108">
        <f t="shared" si="148"/>
        <v>1.6998601171025114E-3</v>
      </c>
      <c r="AC108" s="89">
        <f t="shared" si="149"/>
        <v>1292.2749999999999</v>
      </c>
      <c r="AD108" s="92">
        <f t="shared" si="150"/>
        <v>1.6998601171025116E-3</v>
      </c>
      <c r="AE108" s="144"/>
      <c r="AF108" s="64"/>
      <c r="AG108" s="27"/>
      <c r="AH108" s="27"/>
      <c r="AI108" s="27"/>
    </row>
    <row r="109" spans="1:35" s="289" customFormat="1">
      <c r="A109" s="2">
        <v>6316</v>
      </c>
      <c r="B109" s="2" t="s">
        <v>242</v>
      </c>
      <c r="C109" s="190">
        <f>'400'!C109+'404'!C109+'411'!C109+'425'!C109+'426'!C109</f>
        <v>0</v>
      </c>
      <c r="D109" s="49">
        <f t="shared" si="136"/>
        <v>0</v>
      </c>
      <c r="E109" s="190">
        <f>'400'!E109+'404'!E109+'411'!E109+'425'!E109+'426'!E109</f>
        <v>4059.06</v>
      </c>
      <c r="F109" s="49">
        <f t="shared" si="137"/>
        <v>7.6039330716609595E-3</v>
      </c>
      <c r="G109" s="190">
        <f>'400'!G109+'404'!G109+'411'!G109+'425'!G109+'426'!G109</f>
        <v>0</v>
      </c>
      <c r="H109" s="49">
        <f t="shared" si="138"/>
        <v>0</v>
      </c>
      <c r="I109" s="190">
        <f>'400'!I109+'404'!I109+'411'!I109+'425'!I109+'426'!I109</f>
        <v>0</v>
      </c>
      <c r="J109" s="49">
        <f t="shared" si="139"/>
        <v>0</v>
      </c>
      <c r="K109" s="190">
        <f>'400'!K109+'404'!K109+'411'!K109+'425'!K109+'426'!K109</f>
        <v>5139.0599999999995</v>
      </c>
      <c r="L109" s="49">
        <f t="shared" si="140"/>
        <v>7.1865041320265345E-3</v>
      </c>
      <c r="M109" s="190">
        <f>'400'!M109+'404'!M109+'411'!M109+'425'!M109+'426'!M109</f>
        <v>1850</v>
      </c>
      <c r="N109" s="49">
        <f t="shared" si="141"/>
        <v>1.8244574087366147E-3</v>
      </c>
      <c r="O109" s="190">
        <f>'400'!O109+'404'!O109+'411'!O109+'425'!O109+'426'!O109</f>
        <v>0</v>
      </c>
      <c r="P109" s="49">
        <f t="shared" si="142"/>
        <v>0</v>
      </c>
      <c r="Q109" s="190">
        <f>'400'!Q109+'404'!Q109+'411'!Q109+'425'!Q109+'426'!Q109</f>
        <v>6079.5599999999995</v>
      </c>
      <c r="R109" s="49">
        <f t="shared" si="143"/>
        <v>7.6264826057391025E-3</v>
      </c>
      <c r="S109" s="190">
        <f>'400'!S109+'404'!S109+'411'!S109+'425'!S109+'426'!S109</f>
        <v>1850</v>
      </c>
      <c r="T109" s="49">
        <f t="shared" si="144"/>
        <v>2.3037261464194572E-3</v>
      </c>
      <c r="U109" s="190">
        <f>'400'!U109+'404'!U109+'411'!U109+'425'!U109+'426'!U109</f>
        <v>2721.61</v>
      </c>
      <c r="V109" s="49">
        <f t="shared" si="145"/>
        <v>4.2726639321002489E-3</v>
      </c>
      <c r="W109" s="190">
        <f>'400'!W109+'404'!W109+'411'!W109+'425'!W109+'426'!W109</f>
        <v>0</v>
      </c>
      <c r="X109" s="49">
        <f t="shared" si="146"/>
        <v>0</v>
      </c>
      <c r="Y109" s="190">
        <f>'400'!Y109+'404'!Y109+'411'!Y109+'425'!Y109+'426'!Y109</f>
        <v>0</v>
      </c>
      <c r="Z109" s="49">
        <f t="shared" si="147"/>
        <v>0</v>
      </c>
      <c r="AA109" s="320">
        <f>'400'!AA109+'404'!AA109+'411'!AA109+'425'!AA109+'426'!AA109</f>
        <v>21699.29</v>
      </c>
      <c r="AB109" s="108">
        <f t="shared" si="148"/>
        <v>2.3786060526617371E-3</v>
      </c>
      <c r="AC109" s="89">
        <f t="shared" si="149"/>
        <v>1808.2741666666668</v>
      </c>
      <c r="AD109" s="92">
        <f t="shared" si="150"/>
        <v>2.3786060526617375E-3</v>
      </c>
      <c r="AE109" s="144"/>
      <c r="AF109" s="64"/>
      <c r="AG109" s="27"/>
      <c r="AH109" s="27"/>
      <c r="AI109" s="27"/>
    </row>
    <row r="110" spans="1:35" s="289" customFormat="1">
      <c r="A110" s="2">
        <v>6317</v>
      </c>
      <c r="B110" s="2" t="s">
        <v>243</v>
      </c>
      <c r="C110" s="190">
        <f>'400'!C110+'404'!C110+'411'!C110+'425'!C110+'426'!C110</f>
        <v>0</v>
      </c>
      <c r="D110" s="49">
        <f t="shared" si="136"/>
        <v>0</v>
      </c>
      <c r="E110" s="190">
        <f>'400'!E110+'404'!E110+'411'!E110+'425'!E110+'426'!E110</f>
        <v>3385</v>
      </c>
      <c r="F110" s="49">
        <f t="shared" si="137"/>
        <v>6.341200535979352E-3</v>
      </c>
      <c r="G110" s="190">
        <f>'400'!G110+'404'!G110+'411'!G110+'425'!G110+'426'!G110</f>
        <v>0</v>
      </c>
      <c r="H110" s="49">
        <f t="shared" si="138"/>
        <v>0</v>
      </c>
      <c r="I110" s="190">
        <f>'400'!I110+'404'!I110+'411'!I110+'425'!I110+'426'!I110</f>
        <v>16493</v>
      </c>
      <c r="J110" s="49">
        <f t="shared" si="139"/>
        <v>2.1094329997753267E-2</v>
      </c>
      <c r="K110" s="190">
        <f>'400'!K110+'404'!K110+'411'!K110+'425'!K110+'426'!K110</f>
        <v>3885.5</v>
      </c>
      <c r="L110" s="49">
        <f t="shared" si="140"/>
        <v>5.4335154298624849E-3</v>
      </c>
      <c r="M110" s="190">
        <f>'400'!M110+'404'!M110+'411'!M110+'425'!M110+'426'!M110</f>
        <v>0</v>
      </c>
      <c r="N110" s="49">
        <f t="shared" si="141"/>
        <v>0</v>
      </c>
      <c r="O110" s="190">
        <f>'400'!O110+'404'!O110+'411'!O110+'425'!O110+'426'!O110</f>
        <v>0</v>
      </c>
      <c r="P110" s="49">
        <f t="shared" si="142"/>
        <v>0</v>
      </c>
      <c r="Q110" s="190">
        <f>'400'!Q110+'404'!Q110+'411'!Q110+'425'!Q110+'426'!Q110</f>
        <v>11551.5</v>
      </c>
      <c r="R110" s="49">
        <f t="shared" si="143"/>
        <v>1.4490738444919575E-2</v>
      </c>
      <c r="S110" s="190">
        <f>'400'!S110+'404'!S110+'411'!S110+'425'!S110+'426'!S110</f>
        <v>0</v>
      </c>
      <c r="T110" s="49">
        <f t="shared" si="144"/>
        <v>0</v>
      </c>
      <c r="U110" s="190">
        <f>'400'!U110+'404'!U110+'411'!U110+'425'!U110+'426'!U110</f>
        <v>3385</v>
      </c>
      <c r="V110" s="49">
        <f t="shared" si="145"/>
        <v>5.3141219389109175E-3</v>
      </c>
      <c r="W110" s="190">
        <f>'400'!W110+'404'!W110+'411'!W110+'425'!W110+'426'!W110</f>
        <v>0</v>
      </c>
      <c r="X110" s="49">
        <f t="shared" si="146"/>
        <v>0</v>
      </c>
      <c r="Y110" s="190">
        <f>'400'!Y110+'404'!Y110+'411'!Y110+'425'!Y110+'426'!Y110</f>
        <v>0</v>
      </c>
      <c r="Z110" s="49">
        <f t="shared" si="147"/>
        <v>0</v>
      </c>
      <c r="AA110" s="320">
        <f>'400'!AA110+'404'!AA110+'411'!AA110+'425'!AA110+'426'!AA110</f>
        <v>38700</v>
      </c>
      <c r="AB110" s="108">
        <f t="shared" si="148"/>
        <v>4.2421689482932028E-3</v>
      </c>
      <c r="AC110" s="89">
        <f t="shared" si="149"/>
        <v>3225</v>
      </c>
      <c r="AD110" s="92">
        <f t="shared" si="150"/>
        <v>4.2421689482932037E-3</v>
      </c>
      <c r="AE110" s="144"/>
      <c r="AF110" s="64"/>
      <c r="AG110" s="27"/>
      <c r="AH110" s="27"/>
      <c r="AI110" s="27"/>
    </row>
    <row r="111" spans="1:35" s="289" customFormat="1">
      <c r="A111" s="2">
        <v>6318</v>
      </c>
      <c r="B111" s="2" t="s">
        <v>244</v>
      </c>
      <c r="C111" s="190">
        <f>'400'!C111+'404'!C111+'411'!C111+'425'!C111+'426'!C111</f>
        <v>0</v>
      </c>
      <c r="D111" s="49">
        <f t="shared" si="136"/>
        <v>0</v>
      </c>
      <c r="E111" s="190">
        <f>'400'!E111+'404'!E111+'411'!E111+'425'!E111+'426'!E111</f>
        <v>0</v>
      </c>
      <c r="F111" s="49">
        <f t="shared" si="137"/>
        <v>0</v>
      </c>
      <c r="G111" s="190">
        <f>'400'!G111+'404'!G111+'411'!G111+'425'!G111+'426'!G111</f>
        <v>0</v>
      </c>
      <c r="H111" s="49">
        <f t="shared" si="138"/>
        <v>0</v>
      </c>
      <c r="I111" s="190">
        <f>'400'!I111+'404'!I111+'411'!I111+'425'!I111+'426'!I111</f>
        <v>0</v>
      </c>
      <c r="J111" s="49">
        <f t="shared" si="139"/>
        <v>0</v>
      </c>
      <c r="K111" s="190">
        <f>'400'!K111+'404'!K111+'411'!K111+'425'!K111+'426'!K111</f>
        <v>0</v>
      </c>
      <c r="L111" s="49">
        <f t="shared" si="140"/>
        <v>0</v>
      </c>
      <c r="M111" s="190">
        <f>'400'!M111+'404'!M111+'411'!M111+'425'!M111+'426'!M111</f>
        <v>0</v>
      </c>
      <c r="N111" s="49">
        <f t="shared" si="141"/>
        <v>0</v>
      </c>
      <c r="O111" s="190">
        <f>'400'!O111+'404'!O111+'411'!O111+'425'!O111+'426'!O111</f>
        <v>0</v>
      </c>
      <c r="P111" s="49">
        <f t="shared" si="142"/>
        <v>0</v>
      </c>
      <c r="Q111" s="190">
        <f>'400'!Q111+'404'!Q111+'411'!Q111+'425'!Q111+'426'!Q111</f>
        <v>0</v>
      </c>
      <c r="R111" s="49">
        <f t="shared" si="143"/>
        <v>0</v>
      </c>
      <c r="S111" s="190">
        <f>'400'!S111+'404'!S111+'411'!S111+'425'!S111+'426'!S111</f>
        <v>0</v>
      </c>
      <c r="T111" s="49">
        <f t="shared" si="144"/>
        <v>0</v>
      </c>
      <c r="U111" s="190">
        <f>'400'!U111+'404'!U111+'411'!U111+'425'!U111+'426'!U111</f>
        <v>0</v>
      </c>
      <c r="V111" s="49">
        <f t="shared" si="145"/>
        <v>0</v>
      </c>
      <c r="W111" s="190">
        <f>'400'!W111+'404'!W111+'411'!W111+'425'!W111+'426'!W111</f>
        <v>0</v>
      </c>
      <c r="X111" s="49">
        <f t="shared" si="146"/>
        <v>0</v>
      </c>
      <c r="Y111" s="190">
        <f>'400'!Y111+'404'!Y111+'411'!Y111+'425'!Y111+'426'!Y111</f>
        <v>0</v>
      </c>
      <c r="Z111" s="49">
        <f t="shared" si="147"/>
        <v>0</v>
      </c>
      <c r="AA111" s="320">
        <f>'400'!AA111+'404'!AA111+'411'!AA111+'425'!AA111+'426'!AA111</f>
        <v>0</v>
      </c>
      <c r="AB111" s="108">
        <f t="shared" si="148"/>
        <v>0</v>
      </c>
      <c r="AC111" s="89">
        <f t="shared" si="149"/>
        <v>0</v>
      </c>
      <c r="AD111" s="92">
        <f t="shared" si="150"/>
        <v>0</v>
      </c>
      <c r="AE111" s="144"/>
      <c r="AF111" s="64"/>
      <c r="AG111" s="27"/>
      <c r="AH111" s="27"/>
      <c r="AI111" s="27"/>
    </row>
    <row r="112" spans="1:35" s="289" customFormat="1">
      <c r="A112" s="2">
        <v>6319</v>
      </c>
      <c r="B112" s="2" t="s">
        <v>245</v>
      </c>
      <c r="C112" s="190">
        <f>'400'!C112+'404'!C112+'411'!C112+'425'!C112+'426'!C112</f>
        <v>0</v>
      </c>
      <c r="D112" s="49">
        <f t="shared" si="136"/>
        <v>0</v>
      </c>
      <c r="E112" s="190">
        <f>'400'!E112+'404'!E112+'411'!E112+'425'!E112+'426'!E112</f>
        <v>7208</v>
      </c>
      <c r="F112" s="49">
        <f t="shared" si="137"/>
        <v>1.3502916828165189E-2</v>
      </c>
      <c r="G112" s="190">
        <f>'400'!G112+'404'!G112+'411'!G112+'425'!G112+'426'!G112</f>
        <v>7208</v>
      </c>
      <c r="H112" s="49">
        <f t="shared" si="138"/>
        <v>8.140268654857832E-3</v>
      </c>
      <c r="I112" s="190">
        <f>'400'!I112+'404'!I112+'411'!I112+'425'!I112+'426'!I112</f>
        <v>7208</v>
      </c>
      <c r="J112" s="49">
        <f t="shared" si="139"/>
        <v>9.2189371626632856E-3</v>
      </c>
      <c r="K112" s="190">
        <f>'400'!K112+'404'!K112+'411'!K112+'425'!K112+'426'!K112</f>
        <v>7208</v>
      </c>
      <c r="L112" s="49">
        <f t="shared" si="140"/>
        <v>1.0079726989692136E-2</v>
      </c>
      <c r="M112" s="190">
        <f>'400'!M112+'404'!M112+'411'!M112+'425'!M112+'426'!M112</f>
        <v>0</v>
      </c>
      <c r="N112" s="49">
        <f t="shared" si="141"/>
        <v>0</v>
      </c>
      <c r="O112" s="190">
        <f>'400'!O112+'404'!O112+'411'!O112+'425'!O112+'426'!O112</f>
        <v>7208</v>
      </c>
      <c r="P112" s="49">
        <f t="shared" si="142"/>
        <v>1.1227866707104855E-2</v>
      </c>
      <c r="Q112" s="190">
        <f>'400'!Q112+'404'!Q112+'411'!Q112+'425'!Q112+'426'!Q112</f>
        <v>7208</v>
      </c>
      <c r="R112" s="49">
        <f t="shared" si="143"/>
        <v>9.0420501849093442E-3</v>
      </c>
      <c r="S112" s="190">
        <f>'400'!S112+'404'!S112+'411'!S112+'425'!S112+'426'!S112</f>
        <v>7208</v>
      </c>
      <c r="T112" s="49">
        <f t="shared" si="144"/>
        <v>8.9758151694007832E-3</v>
      </c>
      <c r="U112" s="190">
        <f>'400'!U112+'404'!U112+'411'!U112+'425'!U112+'426'!U112</f>
        <v>7208</v>
      </c>
      <c r="V112" s="49">
        <f t="shared" si="145"/>
        <v>1.1315861428558314E-2</v>
      </c>
      <c r="W112" s="190">
        <f>'400'!W112+'404'!W112+'411'!W112+'425'!W112+'426'!W112</f>
        <v>7208</v>
      </c>
      <c r="X112" s="49">
        <f t="shared" si="146"/>
        <v>1.1121878852460434E-2</v>
      </c>
      <c r="Y112" s="190">
        <f>'400'!Y112+'404'!Y112+'411'!Y112+'425'!Y112+'426'!Y112</f>
        <v>7208</v>
      </c>
      <c r="Z112" s="49">
        <f t="shared" si="147"/>
        <v>7.3622477693614493E-3</v>
      </c>
      <c r="AA112" s="320">
        <f>'400'!AA112+'404'!AA112+'411'!AA112+'425'!AA112+'426'!AA112</f>
        <v>72080</v>
      </c>
      <c r="AB112" s="108">
        <f t="shared" si="148"/>
        <v>7.9011766871569539E-3</v>
      </c>
      <c r="AC112" s="89">
        <f t="shared" si="149"/>
        <v>6006.666666666667</v>
      </c>
      <c r="AD112" s="92">
        <f t="shared" si="150"/>
        <v>7.9011766871569557E-3</v>
      </c>
      <c r="AE112" s="144"/>
      <c r="AF112" s="64"/>
      <c r="AG112" s="27"/>
      <c r="AH112" s="27"/>
      <c r="AI112" s="27"/>
    </row>
    <row r="113" spans="1:35" s="289" customFormat="1">
      <c r="A113" s="2">
        <v>6320</v>
      </c>
      <c r="B113" s="2" t="s">
        <v>246</v>
      </c>
      <c r="C113" s="190">
        <f>'400'!C113+'404'!C113+'411'!C113+'425'!C113+'426'!C113</f>
        <v>0</v>
      </c>
      <c r="D113" s="49">
        <f t="shared" si="136"/>
        <v>0</v>
      </c>
      <c r="E113" s="190">
        <f>'400'!E113+'404'!E113+'411'!E113+'425'!E113+'426'!E113</f>
        <v>0</v>
      </c>
      <c r="F113" s="49">
        <f t="shared" si="137"/>
        <v>0</v>
      </c>
      <c r="G113" s="190">
        <f>'400'!G113+'404'!G113+'411'!G113+'425'!G113+'426'!G113</f>
        <v>0</v>
      </c>
      <c r="H113" s="49">
        <f t="shared" si="138"/>
        <v>0</v>
      </c>
      <c r="I113" s="190">
        <f>'400'!I113+'404'!I113+'411'!I113+'425'!I113+'426'!I113</f>
        <v>0</v>
      </c>
      <c r="J113" s="49">
        <f t="shared" si="139"/>
        <v>0</v>
      </c>
      <c r="K113" s="190">
        <f>'400'!K113+'404'!K113+'411'!K113+'425'!K113+'426'!K113</f>
        <v>0</v>
      </c>
      <c r="L113" s="49">
        <f t="shared" si="140"/>
        <v>0</v>
      </c>
      <c r="M113" s="190">
        <f>'400'!M113+'404'!M113+'411'!M113+'425'!M113+'426'!M113</f>
        <v>0</v>
      </c>
      <c r="N113" s="49">
        <f t="shared" si="141"/>
        <v>0</v>
      </c>
      <c r="O113" s="190">
        <f>'400'!O113+'404'!O113+'411'!O113+'425'!O113+'426'!O113</f>
        <v>0</v>
      </c>
      <c r="P113" s="49">
        <f t="shared" si="142"/>
        <v>0</v>
      </c>
      <c r="Q113" s="190">
        <f>'400'!Q113+'404'!Q113+'411'!Q113+'425'!Q113+'426'!Q113</f>
        <v>0</v>
      </c>
      <c r="R113" s="49">
        <f t="shared" si="143"/>
        <v>0</v>
      </c>
      <c r="S113" s="190">
        <f>'400'!S113+'404'!S113+'411'!S113+'425'!S113+'426'!S113</f>
        <v>0</v>
      </c>
      <c r="T113" s="49">
        <f t="shared" si="144"/>
        <v>0</v>
      </c>
      <c r="U113" s="190">
        <f>'400'!U113+'404'!U113+'411'!U113+'425'!U113+'426'!U113</f>
        <v>0</v>
      </c>
      <c r="V113" s="49">
        <f t="shared" si="145"/>
        <v>0</v>
      </c>
      <c r="W113" s="190">
        <f>'400'!W113+'404'!W113+'411'!W113+'425'!W113+'426'!W113</f>
        <v>0</v>
      </c>
      <c r="X113" s="49">
        <f t="shared" si="146"/>
        <v>0</v>
      </c>
      <c r="Y113" s="190">
        <f>'400'!Y113+'404'!Y113+'411'!Y113+'425'!Y113+'426'!Y113</f>
        <v>0</v>
      </c>
      <c r="Z113" s="49">
        <f t="shared" si="147"/>
        <v>0</v>
      </c>
      <c r="AA113" s="320">
        <f>'400'!AA113+'404'!AA113+'411'!AA113+'425'!AA113+'426'!AA113</f>
        <v>0</v>
      </c>
      <c r="AB113" s="108">
        <f t="shared" si="148"/>
        <v>0</v>
      </c>
      <c r="AC113" s="89">
        <f t="shared" si="149"/>
        <v>0</v>
      </c>
      <c r="AD113" s="92">
        <f t="shared" si="150"/>
        <v>0</v>
      </c>
      <c r="AE113" s="144"/>
      <c r="AF113" s="64"/>
      <c r="AG113" s="27"/>
      <c r="AH113" s="27"/>
      <c r="AI113" s="27"/>
    </row>
    <row r="114" spans="1:35" s="289" customFormat="1">
      <c r="A114" s="2">
        <v>6321</v>
      </c>
      <c r="B114" s="2" t="s">
        <v>247</v>
      </c>
      <c r="C114" s="190">
        <f>'400'!C114+'404'!C114+'411'!C114+'425'!C114+'426'!C114</f>
        <v>0</v>
      </c>
      <c r="D114" s="49">
        <f t="shared" si="136"/>
        <v>0</v>
      </c>
      <c r="E114" s="190">
        <f>'400'!E114+'404'!E114+'411'!E114+'425'!E114+'426'!E114</f>
        <v>0</v>
      </c>
      <c r="F114" s="49">
        <f t="shared" si="137"/>
        <v>0</v>
      </c>
      <c r="G114" s="190">
        <f>'400'!G114+'404'!G114+'411'!G114+'425'!G114+'426'!G114</f>
        <v>0</v>
      </c>
      <c r="H114" s="49">
        <f t="shared" si="138"/>
        <v>0</v>
      </c>
      <c r="I114" s="190">
        <f>'400'!I114+'404'!I114+'411'!I114+'425'!I114+'426'!I114</f>
        <v>0</v>
      </c>
      <c r="J114" s="49">
        <f t="shared" si="139"/>
        <v>0</v>
      </c>
      <c r="K114" s="190">
        <f>'400'!K114+'404'!K114+'411'!K114+'425'!K114+'426'!K114</f>
        <v>0</v>
      </c>
      <c r="L114" s="49">
        <f t="shared" si="140"/>
        <v>0</v>
      </c>
      <c r="M114" s="190">
        <f>'400'!M114+'404'!M114+'411'!M114+'425'!M114+'426'!M114</f>
        <v>0</v>
      </c>
      <c r="N114" s="49">
        <f t="shared" si="141"/>
        <v>0</v>
      </c>
      <c r="O114" s="190">
        <f>'400'!O114+'404'!O114+'411'!O114+'425'!O114+'426'!O114</f>
        <v>0</v>
      </c>
      <c r="P114" s="49">
        <f t="shared" si="142"/>
        <v>0</v>
      </c>
      <c r="Q114" s="190">
        <f>'400'!Q114+'404'!Q114+'411'!Q114+'425'!Q114+'426'!Q114</f>
        <v>0</v>
      </c>
      <c r="R114" s="49">
        <f t="shared" si="143"/>
        <v>0</v>
      </c>
      <c r="S114" s="190">
        <f>'400'!S114+'404'!S114+'411'!S114+'425'!S114+'426'!S114</f>
        <v>0</v>
      </c>
      <c r="T114" s="49">
        <f t="shared" si="144"/>
        <v>0</v>
      </c>
      <c r="U114" s="190">
        <f>'400'!U114+'404'!U114+'411'!U114+'425'!U114+'426'!U114</f>
        <v>0</v>
      </c>
      <c r="V114" s="49">
        <f t="shared" si="145"/>
        <v>0</v>
      </c>
      <c r="W114" s="190">
        <f>'400'!W114+'404'!W114+'411'!W114+'425'!W114+'426'!W114</f>
        <v>0</v>
      </c>
      <c r="X114" s="49">
        <f t="shared" si="146"/>
        <v>0</v>
      </c>
      <c r="Y114" s="190">
        <f>'400'!Y114+'404'!Y114+'411'!Y114+'425'!Y114+'426'!Y114</f>
        <v>0</v>
      </c>
      <c r="Z114" s="49">
        <f t="shared" si="147"/>
        <v>0</v>
      </c>
      <c r="AA114" s="320">
        <f>'400'!AA114+'404'!AA114+'411'!AA114+'425'!AA114+'426'!AA114</f>
        <v>0</v>
      </c>
      <c r="AB114" s="108">
        <f t="shared" si="148"/>
        <v>0</v>
      </c>
      <c r="AC114" s="89">
        <f t="shared" si="149"/>
        <v>0</v>
      </c>
      <c r="AD114" s="92">
        <f t="shared" si="150"/>
        <v>0</v>
      </c>
      <c r="AE114" s="144"/>
      <c r="AF114" s="64"/>
      <c r="AG114" s="27"/>
      <c r="AH114" s="27"/>
      <c r="AI114" s="27"/>
    </row>
    <row r="115" spans="1:35" customFormat="1" ht="15.75" thickBot="1">
      <c r="A115" s="239">
        <v>6399</v>
      </c>
      <c r="B115" s="239" t="s">
        <v>101</v>
      </c>
      <c r="C115" s="240">
        <f>'400'!C115+'404'!C115+'411'!C115+'425'!C115+'426'!C115</f>
        <v>11700.623688618742</v>
      </c>
      <c r="D115" s="241">
        <f t="shared" si="136"/>
        <v>1.7053046267576807E-2</v>
      </c>
      <c r="E115" s="240">
        <f>'400'!E115+'404'!E115+'411'!E115+'425'!E115+'426'!E115</f>
        <v>20240.894294856604</v>
      </c>
      <c r="F115" s="241">
        <f t="shared" si="137"/>
        <v>3.7917745864474474E-2</v>
      </c>
      <c r="G115" s="240">
        <f>'400'!G115+'404'!G115+'411'!G115+'425'!G115+'426'!G115</f>
        <v>17433.499994174952</v>
      </c>
      <c r="H115" s="241">
        <f t="shared" si="138"/>
        <v>1.9688314865017559E-2</v>
      </c>
      <c r="I115" s="240">
        <f>'400'!I115+'404'!I115+'411'!I115+'425'!I115+'426'!I115</f>
        <v>29042.544783579469</v>
      </c>
      <c r="J115" s="241">
        <f t="shared" si="139"/>
        <v>3.7145032658664472E-2</v>
      </c>
      <c r="K115" s="240">
        <f>'400'!K115+'404'!K115+'411'!K115+'425'!K115+'426'!K115</f>
        <v>24251.556808627422</v>
      </c>
      <c r="L115" s="241">
        <f t="shared" si="140"/>
        <v>3.3913578205601265E-2</v>
      </c>
      <c r="M115" s="240">
        <f>'400'!M115+'404'!M115+'411'!M115+'425'!M115+'426'!M115</f>
        <v>5152.1301855888269</v>
      </c>
      <c r="N115" s="241">
        <f t="shared" si="141"/>
        <v>5.0809957231746404E-3</v>
      </c>
      <c r="O115" s="240">
        <f>'400'!O115+'404'!O115+'411'!O115+'425'!O115+'426'!O115</f>
        <v>11560.813857821187</v>
      </c>
      <c r="P115" s="241">
        <f t="shared" si="142"/>
        <v>1.8008223782084758E-2</v>
      </c>
      <c r="Q115" s="240">
        <f>'400'!Q115+'404'!Q115+'411'!Q115+'425'!Q115+'426'!Q115</f>
        <v>29172.909337239795</v>
      </c>
      <c r="R115" s="241">
        <f t="shared" si="143"/>
        <v>3.6595853255706523E-2</v>
      </c>
      <c r="S115" s="240">
        <f>'400'!S115+'404'!S115+'411'!S115+'425'!S115+'426'!S115</f>
        <v>14170.936206944729</v>
      </c>
      <c r="T115" s="241">
        <f t="shared" si="144"/>
        <v>1.7646462842800401E-2</v>
      </c>
      <c r="U115" s="240">
        <f>'400'!U115+'404'!U115+'411'!U115+'425'!U115+'426'!U115</f>
        <v>16550.568503000133</v>
      </c>
      <c r="V115" s="241">
        <f t="shared" si="145"/>
        <v>2.5982788532715222E-2</v>
      </c>
      <c r="W115" s="240">
        <f>'400'!W115+'404'!W115+'411'!W115+'425'!W115+'426'!W115</f>
        <v>11552.507121428705</v>
      </c>
      <c r="X115" s="241">
        <f t="shared" si="146"/>
        <v>1.7825414074183754E-2</v>
      </c>
      <c r="Y115" s="240">
        <f>'400'!Y115+'404'!Y115+'411'!Y115+'425'!Y115+'426'!Y115</f>
        <v>11697.555995698531</v>
      </c>
      <c r="Z115" s="241">
        <f t="shared" si="147"/>
        <v>1.1947878126569389E-2</v>
      </c>
      <c r="AA115" s="337">
        <f>'400'!AA115+'404'!AA115+'411'!AA115+'425'!AA115+'426'!AA115</f>
        <v>202526.5407775791</v>
      </c>
      <c r="AB115" s="338">
        <f t="shared" si="148"/>
        <v>2.2200304973950473E-2</v>
      </c>
      <c r="AC115" s="335">
        <f t="shared" si="149"/>
        <v>16877.211731464926</v>
      </c>
      <c r="AD115" s="336">
        <f t="shared" si="150"/>
        <v>2.2200304973950476E-2</v>
      </c>
      <c r="AE115" s="288"/>
      <c r="AF115" s="64">
        <f t="shared" si="134"/>
        <v>202526.54077757907</v>
      </c>
      <c r="AG115" s="27" t="e">
        <f>'400'!#REF!+#REF!+#REF!+#REF!+'404'!#REF!+#REF!+#REF!+#REF!+#REF!+#REF!+#REF!</f>
        <v>#REF!</v>
      </c>
      <c r="AH115" s="27" t="e">
        <f t="shared" si="151"/>
        <v>#REF!</v>
      </c>
      <c r="AI115" s="27">
        <f>'400'!AA115+'404'!AA115+'411'!AA115</f>
        <v>130104.09887763869</v>
      </c>
    </row>
    <row r="116" spans="1:35" customFormat="1" ht="15.75" thickTop="1">
      <c r="A116" s="20">
        <v>6401</v>
      </c>
      <c r="B116" s="20" t="s">
        <v>89</v>
      </c>
      <c r="C116" s="190">
        <f>'400'!C116+'404'!C116+'411'!C116+'425'!C116+'426'!C116</f>
        <v>0</v>
      </c>
      <c r="D116" s="49">
        <f t="shared" si="136"/>
        <v>0</v>
      </c>
      <c r="E116" s="190">
        <f>'400'!E116+'404'!E116+'411'!E116+'425'!E116+'426'!E116</f>
        <v>0</v>
      </c>
      <c r="F116" s="49">
        <f t="shared" si="137"/>
        <v>0</v>
      </c>
      <c r="G116" s="190">
        <f>'400'!G116+'404'!G116+'411'!G116+'425'!G116+'426'!G116</f>
        <v>0</v>
      </c>
      <c r="H116" s="49">
        <f t="shared" si="138"/>
        <v>0</v>
      </c>
      <c r="I116" s="190">
        <f>'400'!I116+'404'!I116+'411'!I116+'425'!I116+'426'!I116</f>
        <v>0</v>
      </c>
      <c r="J116" s="49">
        <f t="shared" si="139"/>
        <v>0</v>
      </c>
      <c r="K116" s="190">
        <f>'400'!K116+'404'!K116+'411'!K116+'425'!K116+'426'!K116</f>
        <v>0</v>
      </c>
      <c r="L116" s="49">
        <f t="shared" si="140"/>
        <v>0</v>
      </c>
      <c r="M116" s="190">
        <f>'400'!M116+'404'!M116+'411'!M116+'425'!M116+'426'!M116</f>
        <v>0</v>
      </c>
      <c r="N116" s="49">
        <f t="shared" si="141"/>
        <v>0</v>
      </c>
      <c r="O116" s="190">
        <f>'400'!O116+'404'!O116+'411'!O116+'425'!O116+'426'!O116</f>
        <v>0</v>
      </c>
      <c r="P116" s="49">
        <f t="shared" si="142"/>
        <v>0</v>
      </c>
      <c r="Q116" s="190">
        <f>'400'!Q116+'404'!Q116+'411'!Q116+'425'!Q116+'426'!Q116</f>
        <v>0</v>
      </c>
      <c r="R116" s="49">
        <f t="shared" si="143"/>
        <v>0</v>
      </c>
      <c r="S116" s="190">
        <f>'400'!S116+'404'!S116+'411'!S116+'425'!S116+'426'!S116</f>
        <v>0</v>
      </c>
      <c r="T116" s="49">
        <f t="shared" si="144"/>
        <v>0</v>
      </c>
      <c r="U116" s="190">
        <f>'400'!U116+'404'!U116+'411'!U116+'425'!U116+'426'!U116</f>
        <v>0</v>
      </c>
      <c r="V116" s="49">
        <f t="shared" si="145"/>
        <v>0</v>
      </c>
      <c r="W116" s="190">
        <f>'400'!W116+'404'!W116+'411'!W116+'425'!W116+'426'!W116</f>
        <v>0</v>
      </c>
      <c r="X116" s="49">
        <f t="shared" si="146"/>
        <v>0</v>
      </c>
      <c r="Y116" s="190">
        <f>'400'!Y116+'404'!Y116+'411'!Y116+'425'!Y116+'426'!Y116</f>
        <v>0</v>
      </c>
      <c r="Z116" s="49">
        <f t="shared" si="147"/>
        <v>0</v>
      </c>
      <c r="AA116" s="320">
        <f>'400'!AA116+'404'!AA116+'411'!AA116+'425'!AA116+'426'!AA116</f>
        <v>0</v>
      </c>
      <c r="AB116" s="108">
        <f t="shared" si="148"/>
        <v>0</v>
      </c>
      <c r="AC116" s="89">
        <f t="shared" si="149"/>
        <v>0</v>
      </c>
      <c r="AD116" s="92">
        <f t="shared" si="150"/>
        <v>0</v>
      </c>
      <c r="AE116" s="144"/>
      <c r="AF116" s="64">
        <f t="shared" si="134"/>
        <v>0</v>
      </c>
      <c r="AG116" s="27" t="e">
        <f>'400'!#REF!+#REF!+#REF!+#REF!+'404'!#REF!+#REF!+#REF!+#REF!+#REF!+#REF!+#REF!</f>
        <v>#REF!</v>
      </c>
      <c r="AH116" s="27" t="e">
        <f t="shared" si="151"/>
        <v>#REF!</v>
      </c>
      <c r="AI116" s="27">
        <f>'400'!AA116+'404'!AA116+'411'!AA116</f>
        <v>0</v>
      </c>
    </row>
    <row r="117" spans="1:35" customFormat="1">
      <c r="A117" s="2">
        <v>6402</v>
      </c>
      <c r="B117" s="2" t="s">
        <v>75</v>
      </c>
      <c r="C117" s="190">
        <f>'400'!C117+'404'!C117+'411'!C117+'425'!C117+'426'!C117</f>
        <v>500</v>
      </c>
      <c r="D117" s="49">
        <f t="shared" si="136"/>
        <v>7.2872381513151277E-4</v>
      </c>
      <c r="E117" s="190">
        <f>'400'!E117+'404'!E117+'411'!E117+'425'!E117+'426'!E117</f>
        <v>500</v>
      </c>
      <c r="F117" s="49">
        <f t="shared" si="137"/>
        <v>9.3666182215352319E-4</v>
      </c>
      <c r="G117" s="190">
        <f>'400'!G117+'404'!G117+'411'!G117+'425'!G117+'426'!G117</f>
        <v>500</v>
      </c>
      <c r="H117" s="49">
        <f t="shared" si="138"/>
        <v>5.64669024338085E-4</v>
      </c>
      <c r="I117" s="190">
        <f>'400'!I117+'404'!I117+'411'!I117+'425'!I117+'426'!I117</f>
        <v>500</v>
      </c>
      <c r="J117" s="49">
        <f t="shared" si="139"/>
        <v>6.3949342138341317E-4</v>
      </c>
      <c r="K117" s="190">
        <f>'400'!K117+'404'!K117+'411'!K117+'425'!K117+'426'!K117</f>
        <v>500</v>
      </c>
      <c r="L117" s="49">
        <f t="shared" si="140"/>
        <v>6.9920414745367203E-4</v>
      </c>
      <c r="M117" s="190">
        <f>'400'!M117+'404'!M117+'411'!M117+'425'!M117+'426'!M117</f>
        <v>500</v>
      </c>
      <c r="N117" s="49">
        <f t="shared" si="141"/>
        <v>4.930965969558418E-4</v>
      </c>
      <c r="O117" s="190">
        <f>'400'!O117+'404'!O117+'411'!O117+'425'!O117+'426'!O117</f>
        <v>500</v>
      </c>
      <c r="P117" s="49">
        <f t="shared" si="142"/>
        <v>7.7884757957164636E-4</v>
      </c>
      <c r="Q117" s="190">
        <f>'400'!Q117+'404'!Q117+'411'!Q117+'425'!Q117+'426'!Q117</f>
        <v>500</v>
      </c>
      <c r="R117" s="49">
        <f t="shared" si="143"/>
        <v>6.2722323702201334E-4</v>
      </c>
      <c r="S117" s="190">
        <f>'400'!S117+'404'!S117+'411'!S117+'425'!S117+'426'!S117</f>
        <v>500</v>
      </c>
      <c r="T117" s="49">
        <f t="shared" si="144"/>
        <v>6.2262868822147489E-4</v>
      </c>
      <c r="U117" s="190">
        <f>'400'!U117+'404'!U117+'411'!U117+'425'!U117+'426'!U117</f>
        <v>500</v>
      </c>
      <c r="V117" s="49">
        <f t="shared" si="145"/>
        <v>7.8495154193661992E-4</v>
      </c>
      <c r="W117" s="190">
        <f>'400'!W117+'404'!W117+'411'!W117+'425'!W117+'426'!W117</f>
        <v>500</v>
      </c>
      <c r="X117" s="49">
        <f t="shared" si="146"/>
        <v>7.7149548088654518E-4</v>
      </c>
      <c r="Y117" s="190">
        <f>'400'!Y117+'404'!Y117+'411'!Y117+'425'!Y117+'426'!Y117</f>
        <v>500</v>
      </c>
      <c r="Z117" s="49">
        <f t="shared" si="147"/>
        <v>5.106997620256277E-4</v>
      </c>
      <c r="AA117" s="320">
        <f>'400'!AA117+'404'!AA117+'411'!AA117+'425'!AA117+'426'!AA117</f>
        <v>6000</v>
      </c>
      <c r="AB117" s="108">
        <f t="shared" si="148"/>
        <v>6.5770061213848107E-4</v>
      </c>
      <c r="AC117" s="89">
        <f t="shared" si="149"/>
        <v>500</v>
      </c>
      <c r="AD117" s="92">
        <f t="shared" si="150"/>
        <v>6.5770061213848128E-4</v>
      </c>
      <c r="AE117" s="144"/>
      <c r="AF117" s="64">
        <f t="shared" si="134"/>
        <v>6000</v>
      </c>
      <c r="AG117" s="27" t="e">
        <f>'400'!#REF!+#REF!+#REF!+#REF!+'404'!#REF!+#REF!+#REF!+#REF!+#REF!+#REF!+#REF!</f>
        <v>#REF!</v>
      </c>
      <c r="AH117" s="27" t="e">
        <f t="shared" si="151"/>
        <v>#REF!</v>
      </c>
      <c r="AI117" s="27">
        <f>'400'!AA117+'404'!AA117+'411'!AA117</f>
        <v>3600</v>
      </c>
    </row>
    <row r="118" spans="1:35" s="289" customFormat="1">
      <c r="A118" s="128">
        <v>6403</v>
      </c>
      <c r="B118" s="20" t="s">
        <v>277</v>
      </c>
      <c r="C118" s="190">
        <f>'400'!C118+'404'!C118+'411'!C118+'425'!C118+'426'!C118</f>
        <v>0</v>
      </c>
      <c r="D118" s="49">
        <f t="shared" ref="D118" si="152">C118/C$12</f>
        <v>0</v>
      </c>
      <c r="E118" s="190">
        <f>'400'!E118+'404'!E118+'411'!E118+'425'!E118+'426'!E118</f>
        <v>0</v>
      </c>
      <c r="F118" s="49">
        <f t="shared" ref="F118" si="153">E118/E$12</f>
        <v>0</v>
      </c>
      <c r="G118" s="190">
        <f>'400'!G118+'404'!G118+'411'!G118+'425'!G118+'426'!G118</f>
        <v>0</v>
      </c>
      <c r="H118" s="49">
        <f t="shared" ref="H118" si="154">G118/G$12</f>
        <v>0</v>
      </c>
      <c r="I118" s="190">
        <f>'400'!I118+'404'!I118+'411'!I118+'425'!I118+'426'!I118</f>
        <v>0</v>
      </c>
      <c r="J118" s="49">
        <f t="shared" ref="J118" si="155">I118/I$12</f>
        <v>0</v>
      </c>
      <c r="K118" s="190">
        <f>'400'!K118+'404'!K118+'411'!K118+'425'!K118+'426'!K118</f>
        <v>0</v>
      </c>
      <c r="L118" s="49">
        <f t="shared" ref="L118" si="156">K118/K$12</f>
        <v>0</v>
      </c>
      <c r="M118" s="190">
        <f>'400'!M118+'404'!M118+'411'!M118+'425'!M118+'426'!M118</f>
        <v>0</v>
      </c>
      <c r="N118" s="49">
        <f t="shared" ref="N118" si="157">M118/M$12</f>
        <v>0</v>
      </c>
      <c r="O118" s="190">
        <f>'400'!O118+'404'!O118+'411'!O118+'425'!O118+'426'!O118</f>
        <v>0</v>
      </c>
      <c r="P118" s="49">
        <f t="shared" ref="P118" si="158">O118/O$12</f>
        <v>0</v>
      </c>
      <c r="Q118" s="190">
        <f>'400'!Q118+'404'!Q118+'411'!Q118+'425'!Q118+'426'!Q118</f>
        <v>0</v>
      </c>
      <c r="R118" s="49">
        <f t="shared" ref="R118" si="159">Q118/Q$12</f>
        <v>0</v>
      </c>
      <c r="S118" s="190">
        <f>'400'!S118+'404'!S118+'411'!S118+'425'!S118+'426'!S118</f>
        <v>0</v>
      </c>
      <c r="T118" s="49">
        <f t="shared" ref="T118" si="160">S118/S$12</f>
        <v>0</v>
      </c>
      <c r="U118" s="190">
        <f>'400'!U118+'404'!U118+'411'!U118+'425'!U118+'426'!U118</f>
        <v>0</v>
      </c>
      <c r="V118" s="49">
        <f t="shared" ref="V118" si="161">U118/U$12</f>
        <v>0</v>
      </c>
      <c r="W118" s="190">
        <f>'400'!W118+'404'!W118+'411'!W118+'425'!W118+'426'!W118</f>
        <v>0</v>
      </c>
      <c r="X118" s="49">
        <f t="shared" ref="X118" si="162">W118/W$12</f>
        <v>0</v>
      </c>
      <c r="Y118" s="190">
        <f>'400'!Y118+'404'!Y118+'411'!Y118+'425'!Y118+'426'!Y118</f>
        <v>0</v>
      </c>
      <c r="Z118" s="49">
        <f t="shared" ref="Z118" si="163">Y118/Y$12</f>
        <v>0</v>
      </c>
      <c r="AA118" s="320">
        <f>'400'!AA118+'404'!AA118+'411'!AA118+'425'!AA118+'426'!AA118</f>
        <v>0</v>
      </c>
      <c r="AB118" s="108"/>
      <c r="AC118" s="89"/>
      <c r="AD118" s="92"/>
      <c r="AE118" s="144"/>
      <c r="AF118" s="64"/>
      <c r="AG118" s="27"/>
      <c r="AH118" s="27"/>
      <c r="AI118" s="27"/>
    </row>
    <row r="119" spans="1:35" customFormat="1">
      <c r="A119" s="2">
        <v>6404</v>
      </c>
      <c r="B119" s="2" t="s">
        <v>92</v>
      </c>
      <c r="C119" s="190">
        <f>'400'!C119+'404'!C119+'411'!C119+'425'!C119+'426'!C119</f>
        <v>1250</v>
      </c>
      <c r="D119" s="49">
        <f t="shared" si="136"/>
        <v>1.8218095378287819E-3</v>
      </c>
      <c r="E119" s="190">
        <f>'400'!E119+'404'!E119+'411'!E119+'425'!E119+'426'!E119</f>
        <v>1250</v>
      </c>
      <c r="F119" s="49">
        <f t="shared" si="137"/>
        <v>2.3416545553838078E-3</v>
      </c>
      <c r="G119" s="190">
        <f>'400'!G119+'404'!G119+'411'!G119+'425'!G119+'426'!G119</f>
        <v>1250</v>
      </c>
      <c r="H119" s="49">
        <f t="shared" si="138"/>
        <v>1.4116725608452124E-3</v>
      </c>
      <c r="I119" s="190">
        <f>'400'!I119+'404'!I119+'411'!I119+'425'!I119+'426'!I119</f>
        <v>1250</v>
      </c>
      <c r="J119" s="49">
        <f t="shared" si="139"/>
        <v>1.5987335534585331E-3</v>
      </c>
      <c r="K119" s="190">
        <f>'400'!K119+'404'!K119+'411'!K119+'425'!K119+'426'!K119</f>
        <v>1250</v>
      </c>
      <c r="L119" s="49">
        <f t="shared" si="140"/>
        <v>1.74801036863418E-3</v>
      </c>
      <c r="M119" s="190">
        <f>'400'!M119+'404'!M119+'411'!M119+'425'!M119+'426'!M119</f>
        <v>1250</v>
      </c>
      <c r="N119" s="49">
        <f t="shared" si="141"/>
        <v>1.2327414923896044E-3</v>
      </c>
      <c r="O119" s="190">
        <f>'400'!O119+'404'!O119+'411'!O119+'425'!O119+'426'!O119</f>
        <v>1250</v>
      </c>
      <c r="P119" s="49">
        <f t="shared" si="142"/>
        <v>1.9471189489291159E-3</v>
      </c>
      <c r="Q119" s="190">
        <f>'400'!Q119+'404'!Q119+'411'!Q119+'425'!Q119+'426'!Q119</f>
        <v>1250</v>
      </c>
      <c r="R119" s="49">
        <f t="shared" si="143"/>
        <v>1.5680580925550333E-3</v>
      </c>
      <c r="S119" s="190">
        <f>'400'!S119+'404'!S119+'411'!S119+'425'!S119+'426'!S119</f>
        <v>1250</v>
      </c>
      <c r="T119" s="49">
        <f t="shared" si="144"/>
        <v>1.5565717205536873E-3</v>
      </c>
      <c r="U119" s="190">
        <f>'400'!U119+'404'!U119+'411'!U119+'425'!U119+'426'!U119</f>
        <v>1250</v>
      </c>
      <c r="V119" s="49">
        <f t="shared" si="145"/>
        <v>1.9623788548415498E-3</v>
      </c>
      <c r="W119" s="190">
        <f>'400'!W119+'404'!W119+'411'!W119+'425'!W119+'426'!W119</f>
        <v>1250</v>
      </c>
      <c r="X119" s="49">
        <f t="shared" si="146"/>
        <v>1.9287387022163629E-3</v>
      </c>
      <c r="Y119" s="190">
        <f>'400'!Y119+'404'!Y119+'411'!Y119+'425'!Y119+'426'!Y119</f>
        <v>1250</v>
      </c>
      <c r="Z119" s="49">
        <f t="shared" si="147"/>
        <v>1.2767494050640693E-3</v>
      </c>
      <c r="AA119" s="320">
        <f>'400'!AA119+'404'!AA119+'411'!AA119+'425'!AA119+'426'!AA119</f>
        <v>15000</v>
      </c>
      <c r="AB119" s="108">
        <f t="shared" si="148"/>
        <v>1.6442515303462027E-3</v>
      </c>
      <c r="AC119" s="89">
        <f t="shared" si="149"/>
        <v>1250</v>
      </c>
      <c r="AD119" s="92">
        <f t="shared" si="150"/>
        <v>1.6442515303462032E-3</v>
      </c>
      <c r="AE119" s="144"/>
      <c r="AF119" s="64">
        <f t="shared" si="134"/>
        <v>15000</v>
      </c>
      <c r="AG119" s="27" t="e">
        <f>'400'!#REF!+#REF!+#REF!+#REF!+'404'!#REF!+#REF!+#REF!+#REF!+#REF!+#REF!+#REF!</f>
        <v>#REF!</v>
      </c>
      <c r="AH119" s="27" t="e">
        <f t="shared" si="151"/>
        <v>#REF!</v>
      </c>
      <c r="AI119" s="27">
        <f>'400'!AA119+'404'!AA119+'411'!AA119</f>
        <v>9000</v>
      </c>
    </row>
    <row r="120" spans="1:35" customFormat="1">
      <c r="A120" s="2">
        <v>6406</v>
      </c>
      <c r="B120" s="2" t="s">
        <v>72</v>
      </c>
      <c r="C120" s="190">
        <f>'400'!C120+'404'!C120+'411'!C120+'425'!C120+'426'!C120</f>
        <v>750</v>
      </c>
      <c r="D120" s="49">
        <f t="shared" si="136"/>
        <v>1.0930857226972691E-3</v>
      </c>
      <c r="E120" s="190">
        <f>'400'!E120+'404'!E120+'411'!E120+'425'!E120+'426'!E120</f>
        <v>750</v>
      </c>
      <c r="F120" s="49">
        <f t="shared" si="137"/>
        <v>1.4049927332302847E-3</v>
      </c>
      <c r="G120" s="190">
        <f>'400'!G120+'404'!G120+'411'!G120+'425'!G120+'426'!G120</f>
        <v>750</v>
      </c>
      <c r="H120" s="49">
        <f t="shared" si="138"/>
        <v>8.470035365071275E-4</v>
      </c>
      <c r="I120" s="190">
        <f>'400'!I120+'404'!I120+'411'!I120+'425'!I120+'426'!I120</f>
        <v>750</v>
      </c>
      <c r="J120" s="49">
        <f t="shared" si="139"/>
        <v>9.5924013207511981E-4</v>
      </c>
      <c r="K120" s="190">
        <f>'400'!K120+'404'!K120+'411'!K120+'425'!K120+'426'!K120</f>
        <v>750</v>
      </c>
      <c r="L120" s="49">
        <f t="shared" si="140"/>
        <v>1.0488062211805079E-3</v>
      </c>
      <c r="M120" s="190">
        <f>'400'!M120+'404'!M120+'411'!M120+'425'!M120+'426'!M120</f>
        <v>750</v>
      </c>
      <c r="N120" s="49">
        <f t="shared" si="141"/>
        <v>7.3964489543376275E-4</v>
      </c>
      <c r="O120" s="190">
        <f>'400'!O120+'404'!O120+'411'!O120+'425'!O120+'426'!O120</f>
        <v>750</v>
      </c>
      <c r="P120" s="49">
        <f t="shared" si="142"/>
        <v>1.1682713693574695E-3</v>
      </c>
      <c r="Q120" s="190">
        <f>'400'!Q120+'404'!Q120+'411'!Q120+'425'!Q120+'426'!Q120</f>
        <v>750</v>
      </c>
      <c r="R120" s="49">
        <f t="shared" si="143"/>
        <v>9.4083485553302006E-4</v>
      </c>
      <c r="S120" s="190">
        <f>'400'!S120+'404'!S120+'411'!S120+'425'!S120+'426'!S120</f>
        <v>750</v>
      </c>
      <c r="T120" s="49">
        <f t="shared" si="144"/>
        <v>9.3394303233221244E-4</v>
      </c>
      <c r="U120" s="190">
        <f>'400'!U120+'404'!U120+'411'!U120+'425'!U120+'426'!U120</f>
        <v>750</v>
      </c>
      <c r="V120" s="49">
        <f t="shared" si="145"/>
        <v>1.17742731290493E-3</v>
      </c>
      <c r="W120" s="190">
        <f>'400'!W120+'404'!W120+'411'!W120+'425'!W120+'426'!W120</f>
        <v>750</v>
      </c>
      <c r="X120" s="49">
        <f t="shared" si="146"/>
        <v>1.1572432213298176E-3</v>
      </c>
      <c r="Y120" s="190">
        <f>'400'!Y120+'404'!Y120+'411'!Y120+'425'!Y120+'426'!Y120</f>
        <v>750</v>
      </c>
      <c r="Z120" s="49">
        <f t="shared" si="147"/>
        <v>7.660496430384416E-4</v>
      </c>
      <c r="AA120" s="320">
        <f>'400'!AA120+'404'!AA120+'411'!AA120+'425'!AA120+'426'!AA120</f>
        <v>9000</v>
      </c>
      <c r="AB120" s="108">
        <f t="shared" si="148"/>
        <v>9.8655091820772176E-4</v>
      </c>
      <c r="AC120" s="89">
        <f t="shared" si="149"/>
        <v>750</v>
      </c>
      <c r="AD120" s="92">
        <f t="shared" si="150"/>
        <v>9.8655091820772176E-4</v>
      </c>
      <c r="AE120" s="144"/>
      <c r="AF120" s="64">
        <f t="shared" si="134"/>
        <v>9000</v>
      </c>
      <c r="AG120" s="27" t="e">
        <f>'400'!#REF!+#REF!+#REF!+#REF!+'404'!#REF!+#REF!+#REF!+#REF!+#REF!+#REF!+#REF!</f>
        <v>#REF!</v>
      </c>
      <c r="AH120" s="27" t="e">
        <f t="shared" si="151"/>
        <v>#REF!</v>
      </c>
      <c r="AI120" s="27">
        <f>'400'!AA120+'404'!AA120+'411'!AA120</f>
        <v>5400</v>
      </c>
    </row>
    <row r="121" spans="1:35" customFormat="1">
      <c r="A121" s="2">
        <v>6407</v>
      </c>
      <c r="B121" s="2" t="s">
        <v>73</v>
      </c>
      <c r="C121" s="190">
        <f>'400'!C121+'404'!C121+'411'!C121+'425'!C121+'426'!C121</f>
        <v>0</v>
      </c>
      <c r="D121" s="49">
        <f t="shared" si="136"/>
        <v>0</v>
      </c>
      <c r="E121" s="190">
        <f>'400'!E121+'404'!E121+'411'!E121+'425'!E121+'426'!E121</f>
        <v>0</v>
      </c>
      <c r="F121" s="49">
        <f t="shared" si="137"/>
        <v>0</v>
      </c>
      <c r="G121" s="190">
        <f>'400'!G121+'404'!G121+'411'!G121+'425'!G121+'426'!G121</f>
        <v>0</v>
      </c>
      <c r="H121" s="49">
        <f t="shared" si="138"/>
        <v>0</v>
      </c>
      <c r="I121" s="190">
        <f>'400'!I121+'404'!I121+'411'!I121+'425'!I121+'426'!I121</f>
        <v>0</v>
      </c>
      <c r="J121" s="49">
        <f t="shared" si="139"/>
        <v>0</v>
      </c>
      <c r="K121" s="190">
        <f>'400'!K121+'404'!K121+'411'!K121+'425'!K121+'426'!K121</f>
        <v>0</v>
      </c>
      <c r="L121" s="49">
        <f t="shared" si="140"/>
        <v>0</v>
      </c>
      <c r="M121" s="190">
        <f>'400'!M121+'404'!M121+'411'!M121+'425'!M121+'426'!M121</f>
        <v>0</v>
      </c>
      <c r="N121" s="49">
        <f t="shared" si="141"/>
        <v>0</v>
      </c>
      <c r="O121" s="190">
        <f>'400'!O121+'404'!O121+'411'!O121+'425'!O121+'426'!O121</f>
        <v>0</v>
      </c>
      <c r="P121" s="49">
        <f t="shared" si="142"/>
        <v>0</v>
      </c>
      <c r="Q121" s="190">
        <f>'400'!Q121+'404'!Q121+'411'!Q121+'425'!Q121+'426'!Q121</f>
        <v>0</v>
      </c>
      <c r="R121" s="49">
        <f t="shared" si="143"/>
        <v>0</v>
      </c>
      <c r="S121" s="190">
        <f>'400'!S121+'404'!S121+'411'!S121+'425'!S121+'426'!S121</f>
        <v>0</v>
      </c>
      <c r="T121" s="49">
        <f t="shared" si="144"/>
        <v>0</v>
      </c>
      <c r="U121" s="190">
        <f>'400'!U121+'404'!U121+'411'!U121+'425'!U121+'426'!U121</f>
        <v>0</v>
      </c>
      <c r="V121" s="49">
        <f t="shared" si="145"/>
        <v>0</v>
      </c>
      <c r="W121" s="190">
        <f>'400'!W121+'404'!W121+'411'!W121+'425'!W121+'426'!W121</f>
        <v>0</v>
      </c>
      <c r="X121" s="49">
        <f t="shared" si="146"/>
        <v>0</v>
      </c>
      <c r="Y121" s="190">
        <f>'400'!Y121+'404'!Y121+'411'!Y121+'425'!Y121+'426'!Y121</f>
        <v>0</v>
      </c>
      <c r="Z121" s="49">
        <f t="shared" si="147"/>
        <v>0</v>
      </c>
      <c r="AA121" s="320">
        <f>'400'!AA121+'404'!AA121+'411'!AA121+'425'!AA121+'426'!AA121</f>
        <v>0</v>
      </c>
      <c r="AB121" s="108">
        <f t="shared" si="148"/>
        <v>0</v>
      </c>
      <c r="AC121" s="89">
        <f t="shared" si="149"/>
        <v>0</v>
      </c>
      <c r="AD121" s="92">
        <f t="shared" si="150"/>
        <v>0</v>
      </c>
      <c r="AE121" s="144"/>
      <c r="AF121" s="64">
        <f t="shared" si="134"/>
        <v>0</v>
      </c>
      <c r="AG121" s="27" t="e">
        <f>'400'!#REF!+#REF!+#REF!+#REF!+'404'!#REF!+#REF!+#REF!+#REF!+#REF!+#REF!+#REF!</f>
        <v>#REF!</v>
      </c>
      <c r="AH121" s="27" t="e">
        <f t="shared" si="151"/>
        <v>#REF!</v>
      </c>
      <c r="AI121" s="27">
        <f>'400'!AA121+'404'!AA121+'411'!AA121</f>
        <v>0</v>
      </c>
    </row>
    <row r="122" spans="1:35" customFormat="1">
      <c r="A122" s="2">
        <v>6408</v>
      </c>
      <c r="B122" s="2" t="s">
        <v>42</v>
      </c>
      <c r="C122" s="190">
        <f>'400'!C122+'404'!C122+'411'!C122+'425'!C122+'426'!C122</f>
        <v>0</v>
      </c>
      <c r="D122" s="49">
        <f t="shared" si="136"/>
        <v>0</v>
      </c>
      <c r="E122" s="190">
        <f>'400'!E122+'404'!E122+'411'!E122+'425'!E122+'426'!E122</f>
        <v>0</v>
      </c>
      <c r="F122" s="49">
        <f t="shared" si="137"/>
        <v>0</v>
      </c>
      <c r="G122" s="190">
        <f>'400'!G122+'404'!G122+'411'!G122+'425'!G122+'426'!G122</f>
        <v>0</v>
      </c>
      <c r="H122" s="49">
        <f t="shared" si="138"/>
        <v>0</v>
      </c>
      <c r="I122" s="190">
        <f>'400'!I122+'404'!I122+'411'!I122+'425'!I122+'426'!I122</f>
        <v>0</v>
      </c>
      <c r="J122" s="49">
        <f t="shared" si="139"/>
        <v>0</v>
      </c>
      <c r="K122" s="190">
        <f>'400'!K122+'404'!K122+'411'!K122+'425'!K122+'426'!K122</f>
        <v>0</v>
      </c>
      <c r="L122" s="49">
        <f t="shared" si="140"/>
        <v>0</v>
      </c>
      <c r="M122" s="190">
        <f>'400'!M122+'404'!M122+'411'!M122+'425'!M122+'426'!M122</f>
        <v>0</v>
      </c>
      <c r="N122" s="49">
        <f t="shared" si="141"/>
        <v>0</v>
      </c>
      <c r="O122" s="190">
        <f>'400'!O122+'404'!O122+'411'!O122+'425'!O122+'426'!O122</f>
        <v>0</v>
      </c>
      <c r="P122" s="49">
        <f t="shared" si="142"/>
        <v>0</v>
      </c>
      <c r="Q122" s="190">
        <f>'400'!Q122+'404'!Q122+'411'!Q122+'425'!Q122+'426'!Q122</f>
        <v>0</v>
      </c>
      <c r="R122" s="49">
        <f t="shared" si="143"/>
        <v>0</v>
      </c>
      <c r="S122" s="190">
        <f>'400'!S122+'404'!S122+'411'!S122+'425'!S122+'426'!S122</f>
        <v>0</v>
      </c>
      <c r="T122" s="49">
        <f t="shared" si="144"/>
        <v>0</v>
      </c>
      <c r="U122" s="190">
        <f>'400'!U122+'404'!U122+'411'!U122+'425'!U122+'426'!U122</f>
        <v>0</v>
      </c>
      <c r="V122" s="49">
        <f t="shared" si="145"/>
        <v>0</v>
      </c>
      <c r="W122" s="190">
        <f>'400'!W122+'404'!W122+'411'!W122+'425'!W122+'426'!W122</f>
        <v>0</v>
      </c>
      <c r="X122" s="49">
        <f t="shared" si="146"/>
        <v>0</v>
      </c>
      <c r="Y122" s="190">
        <f>'400'!Y122+'404'!Y122+'411'!Y122+'425'!Y122+'426'!Y122</f>
        <v>0</v>
      </c>
      <c r="Z122" s="49">
        <f t="shared" si="147"/>
        <v>0</v>
      </c>
      <c r="AA122" s="320">
        <f>'400'!AA122+'404'!AA122+'411'!AA122+'425'!AA122+'426'!AA122</f>
        <v>0</v>
      </c>
      <c r="AB122" s="108">
        <f t="shared" si="148"/>
        <v>0</v>
      </c>
      <c r="AC122" s="89">
        <f t="shared" si="149"/>
        <v>0</v>
      </c>
      <c r="AD122" s="92">
        <f t="shared" si="150"/>
        <v>0</v>
      </c>
      <c r="AE122" s="144"/>
      <c r="AF122" s="64">
        <f t="shared" si="134"/>
        <v>0</v>
      </c>
      <c r="AG122" s="27" t="e">
        <f>'400'!#REF!+#REF!+#REF!+#REF!+'404'!#REF!+#REF!+#REF!+#REF!+#REF!+#REF!+#REF!</f>
        <v>#REF!</v>
      </c>
      <c r="AH122" s="27" t="e">
        <f t="shared" si="151"/>
        <v>#REF!</v>
      </c>
      <c r="AI122" s="27">
        <f>'400'!AA122+'404'!AA122+'411'!AA122</f>
        <v>0</v>
      </c>
    </row>
    <row r="123" spans="1:35" s="1" customFormat="1">
      <c r="A123" s="128">
        <v>6410</v>
      </c>
      <c r="B123" s="2" t="s">
        <v>105</v>
      </c>
      <c r="C123" s="190">
        <f>'400'!C123+'404'!C123+'411'!C123+'425'!C123+'426'!C123</f>
        <v>0</v>
      </c>
      <c r="D123" s="49">
        <f t="shared" si="136"/>
        <v>0</v>
      </c>
      <c r="E123" s="190">
        <f>'400'!E123+'404'!E123+'411'!E123+'425'!E123+'426'!E123</f>
        <v>0</v>
      </c>
      <c r="F123" s="49">
        <f t="shared" si="137"/>
        <v>0</v>
      </c>
      <c r="G123" s="190">
        <f>'400'!G123+'404'!G123+'411'!G123+'425'!G123+'426'!G123</f>
        <v>0</v>
      </c>
      <c r="H123" s="49">
        <f t="shared" si="138"/>
        <v>0</v>
      </c>
      <c r="I123" s="190">
        <f>'400'!I123+'404'!I123+'411'!I123+'425'!I123+'426'!I123</f>
        <v>0</v>
      </c>
      <c r="J123" s="49">
        <f t="shared" si="139"/>
        <v>0</v>
      </c>
      <c r="K123" s="190">
        <f>'400'!K123+'404'!K123+'411'!K123+'425'!K123+'426'!K123</f>
        <v>0</v>
      </c>
      <c r="L123" s="49">
        <f t="shared" si="140"/>
        <v>0</v>
      </c>
      <c r="M123" s="190">
        <f>'400'!M123+'404'!M123+'411'!M123+'425'!M123+'426'!M123</f>
        <v>0</v>
      </c>
      <c r="N123" s="49">
        <f t="shared" si="141"/>
        <v>0</v>
      </c>
      <c r="O123" s="190">
        <f>'400'!O123+'404'!O123+'411'!O123+'425'!O123+'426'!O123</f>
        <v>0</v>
      </c>
      <c r="P123" s="49">
        <f t="shared" si="142"/>
        <v>0</v>
      </c>
      <c r="Q123" s="190">
        <f>'400'!Q123+'404'!Q123+'411'!Q123+'425'!Q123+'426'!Q123</f>
        <v>0</v>
      </c>
      <c r="R123" s="49">
        <f t="shared" si="143"/>
        <v>0</v>
      </c>
      <c r="S123" s="190">
        <f>'400'!S123+'404'!S123+'411'!S123+'425'!S123+'426'!S123</f>
        <v>0</v>
      </c>
      <c r="T123" s="49">
        <f t="shared" si="144"/>
        <v>0</v>
      </c>
      <c r="U123" s="190">
        <f>'400'!U123+'404'!U123+'411'!U123+'425'!U123+'426'!U123</f>
        <v>0</v>
      </c>
      <c r="V123" s="49">
        <f t="shared" si="145"/>
        <v>0</v>
      </c>
      <c r="W123" s="190">
        <f>'400'!W123+'404'!W123+'411'!W123+'425'!W123+'426'!W123</f>
        <v>0</v>
      </c>
      <c r="X123" s="49">
        <f t="shared" si="146"/>
        <v>0</v>
      </c>
      <c r="Y123" s="190">
        <f>'400'!Y123+'404'!Y123+'411'!Y123+'425'!Y123+'426'!Y123</f>
        <v>0</v>
      </c>
      <c r="Z123" s="49">
        <f t="shared" si="147"/>
        <v>0</v>
      </c>
      <c r="AA123" s="320">
        <f>'400'!AA123+'404'!AA123+'411'!AA123+'425'!AA123+'426'!AA123</f>
        <v>0</v>
      </c>
      <c r="AB123" s="108">
        <f t="shared" si="148"/>
        <v>0</v>
      </c>
      <c r="AC123" s="89">
        <f t="shared" si="149"/>
        <v>0</v>
      </c>
      <c r="AD123" s="92">
        <f t="shared" si="150"/>
        <v>0</v>
      </c>
      <c r="AE123" s="144"/>
      <c r="AF123" s="64">
        <f t="shared" si="134"/>
        <v>0</v>
      </c>
      <c r="AG123" s="27" t="e">
        <f>'400'!#REF!+#REF!+#REF!+#REF!+'404'!#REF!+#REF!+#REF!+#REF!+#REF!+#REF!+#REF!</f>
        <v>#REF!</v>
      </c>
      <c r="AH123" s="27" t="e">
        <f t="shared" ref="AH123:AH140" si="164">AA123-AG123</f>
        <v>#REF!</v>
      </c>
      <c r="AI123" s="27">
        <f>'400'!AA123+'404'!AA123+'411'!AA123</f>
        <v>0</v>
      </c>
    </row>
    <row r="124" spans="1:35" s="1" customFormat="1">
      <c r="A124" s="128">
        <v>6411</v>
      </c>
      <c r="B124" s="2" t="s">
        <v>141</v>
      </c>
      <c r="C124" s="190">
        <f>'400'!C124+'404'!C124+'411'!C124+'425'!C124+'426'!C124</f>
        <v>0</v>
      </c>
      <c r="D124" s="49">
        <f t="shared" si="136"/>
        <v>0</v>
      </c>
      <c r="E124" s="190">
        <f>'400'!E124+'404'!E124+'411'!E124+'425'!E124+'426'!E124</f>
        <v>0</v>
      </c>
      <c r="F124" s="49">
        <f t="shared" si="137"/>
        <v>0</v>
      </c>
      <c r="G124" s="190">
        <f>'400'!G124+'404'!G124+'411'!G124+'425'!G124+'426'!G124</f>
        <v>0</v>
      </c>
      <c r="H124" s="49">
        <f t="shared" si="138"/>
        <v>0</v>
      </c>
      <c r="I124" s="190">
        <f>'400'!I124+'404'!I124+'411'!I124+'425'!I124+'426'!I124</f>
        <v>0</v>
      </c>
      <c r="J124" s="49">
        <f t="shared" si="139"/>
        <v>0</v>
      </c>
      <c r="K124" s="190">
        <f>'400'!K124+'404'!K124+'411'!K124+'425'!K124+'426'!K124</f>
        <v>0</v>
      </c>
      <c r="L124" s="49">
        <f t="shared" si="140"/>
        <v>0</v>
      </c>
      <c r="M124" s="190">
        <f>'400'!M124+'404'!M124+'411'!M124+'425'!M124+'426'!M124</f>
        <v>0</v>
      </c>
      <c r="N124" s="49">
        <f t="shared" si="141"/>
        <v>0</v>
      </c>
      <c r="O124" s="190">
        <f>'400'!O124+'404'!O124+'411'!O124+'425'!O124+'426'!O124</f>
        <v>0</v>
      </c>
      <c r="P124" s="49">
        <f t="shared" si="142"/>
        <v>0</v>
      </c>
      <c r="Q124" s="190">
        <f>'400'!Q124+'404'!Q124+'411'!Q124+'425'!Q124+'426'!Q124</f>
        <v>0</v>
      </c>
      <c r="R124" s="49">
        <f t="shared" si="143"/>
        <v>0</v>
      </c>
      <c r="S124" s="190">
        <f>'400'!S124+'404'!S124+'411'!S124+'425'!S124+'426'!S124</f>
        <v>0</v>
      </c>
      <c r="T124" s="49">
        <f t="shared" si="144"/>
        <v>0</v>
      </c>
      <c r="U124" s="190">
        <f>'400'!U124+'404'!U124+'411'!U124+'425'!U124+'426'!U124</f>
        <v>0</v>
      </c>
      <c r="V124" s="49">
        <f t="shared" si="145"/>
        <v>0</v>
      </c>
      <c r="W124" s="190">
        <f>'400'!W124+'404'!W124+'411'!W124+'425'!W124+'426'!W124</f>
        <v>0</v>
      </c>
      <c r="X124" s="49">
        <f t="shared" si="146"/>
        <v>0</v>
      </c>
      <c r="Y124" s="190">
        <f>'400'!Y124+'404'!Y124+'411'!Y124+'425'!Y124+'426'!Y124</f>
        <v>0</v>
      </c>
      <c r="Z124" s="49">
        <f t="shared" si="147"/>
        <v>0</v>
      </c>
      <c r="AA124" s="320">
        <f>'400'!AA124+'404'!AA124+'411'!AA124+'425'!AA124+'426'!AA124</f>
        <v>0</v>
      </c>
      <c r="AB124" s="108">
        <f t="shared" si="148"/>
        <v>0</v>
      </c>
      <c r="AC124" s="89">
        <f t="shared" si="149"/>
        <v>0</v>
      </c>
      <c r="AD124" s="92">
        <f t="shared" si="150"/>
        <v>0</v>
      </c>
      <c r="AE124" s="144"/>
      <c r="AF124" s="64">
        <f t="shared" si="134"/>
        <v>0</v>
      </c>
      <c r="AG124" s="27" t="e">
        <f>'400'!#REF!+#REF!+#REF!+#REF!+'404'!#REF!+#REF!+#REF!+#REF!+#REF!+#REF!+#REF!</f>
        <v>#REF!</v>
      </c>
      <c r="AH124" s="27" t="e">
        <f t="shared" si="164"/>
        <v>#REF!</v>
      </c>
      <c r="AI124" s="27">
        <f>'400'!AA124+'404'!AA124+'411'!AA124</f>
        <v>0</v>
      </c>
    </row>
    <row r="125" spans="1:35" customFormat="1">
      <c r="A125" s="2">
        <v>6412</v>
      </c>
      <c r="B125" s="2" t="s">
        <v>93</v>
      </c>
      <c r="C125" s="190">
        <f>'400'!C125+'404'!C125+'411'!C125+'425'!C125+'426'!C125</f>
        <v>0</v>
      </c>
      <c r="D125" s="49">
        <f t="shared" si="136"/>
        <v>0</v>
      </c>
      <c r="E125" s="190">
        <f>'400'!E125+'404'!E125+'411'!E125+'425'!E125+'426'!E125</f>
        <v>0</v>
      </c>
      <c r="F125" s="49">
        <f t="shared" si="137"/>
        <v>0</v>
      </c>
      <c r="G125" s="190">
        <f>'400'!G125+'404'!G125+'411'!G125+'425'!G125+'426'!G125</f>
        <v>0</v>
      </c>
      <c r="H125" s="49">
        <f t="shared" si="138"/>
        <v>0</v>
      </c>
      <c r="I125" s="190">
        <f>'400'!I125+'404'!I125+'411'!I125+'425'!I125+'426'!I125</f>
        <v>0</v>
      </c>
      <c r="J125" s="49">
        <f t="shared" si="139"/>
        <v>0</v>
      </c>
      <c r="K125" s="190">
        <f>'400'!K125+'404'!K125+'411'!K125+'425'!K125+'426'!K125</f>
        <v>0</v>
      </c>
      <c r="L125" s="49">
        <f t="shared" si="140"/>
        <v>0</v>
      </c>
      <c r="M125" s="190">
        <f>'400'!M125+'404'!M125+'411'!M125+'425'!M125+'426'!M125</f>
        <v>0</v>
      </c>
      <c r="N125" s="49">
        <f t="shared" si="141"/>
        <v>0</v>
      </c>
      <c r="O125" s="190">
        <f>'400'!O125+'404'!O125+'411'!O125+'425'!O125+'426'!O125</f>
        <v>0</v>
      </c>
      <c r="P125" s="49">
        <f t="shared" si="142"/>
        <v>0</v>
      </c>
      <c r="Q125" s="190">
        <f>'400'!Q125+'404'!Q125+'411'!Q125+'425'!Q125+'426'!Q125</f>
        <v>0</v>
      </c>
      <c r="R125" s="49">
        <f t="shared" si="143"/>
        <v>0</v>
      </c>
      <c r="S125" s="190">
        <f>'400'!S125+'404'!S125+'411'!S125+'425'!S125+'426'!S125</f>
        <v>0</v>
      </c>
      <c r="T125" s="49">
        <f t="shared" si="144"/>
        <v>0</v>
      </c>
      <c r="U125" s="190">
        <f>'400'!U125+'404'!U125+'411'!U125+'425'!U125+'426'!U125</f>
        <v>0</v>
      </c>
      <c r="V125" s="49">
        <f t="shared" si="145"/>
        <v>0</v>
      </c>
      <c r="W125" s="190">
        <f>'400'!W125+'404'!W125+'411'!W125+'425'!W125+'426'!W125</f>
        <v>0</v>
      </c>
      <c r="X125" s="49">
        <f t="shared" si="146"/>
        <v>0</v>
      </c>
      <c r="Y125" s="190">
        <f>'400'!Y125+'404'!Y125+'411'!Y125+'425'!Y125+'426'!Y125</f>
        <v>0</v>
      </c>
      <c r="Z125" s="49">
        <f t="shared" si="147"/>
        <v>0</v>
      </c>
      <c r="AA125" s="320">
        <f>'400'!AA125+'404'!AA125+'411'!AA125+'425'!AA125+'426'!AA125</f>
        <v>0</v>
      </c>
      <c r="AB125" s="108">
        <f t="shared" si="148"/>
        <v>0</v>
      </c>
      <c r="AC125" s="89">
        <f t="shared" si="149"/>
        <v>0</v>
      </c>
      <c r="AD125" s="92">
        <f t="shared" si="150"/>
        <v>0</v>
      </c>
      <c r="AE125" s="144"/>
      <c r="AF125" s="64">
        <f t="shared" si="134"/>
        <v>0</v>
      </c>
      <c r="AG125" s="27" t="e">
        <f>'400'!#REF!+#REF!+#REF!+#REF!+'404'!#REF!+#REF!+#REF!+#REF!+#REF!+#REF!+#REF!</f>
        <v>#REF!</v>
      </c>
      <c r="AH125" s="27" t="e">
        <f t="shared" si="164"/>
        <v>#REF!</v>
      </c>
      <c r="AI125" s="27">
        <f>'400'!AA125+'404'!AA125+'411'!AA125</f>
        <v>0</v>
      </c>
    </row>
    <row r="126" spans="1:35" customFormat="1">
      <c r="A126" s="2">
        <v>6413</v>
      </c>
      <c r="B126" s="2" t="s">
        <v>41</v>
      </c>
      <c r="C126" s="190">
        <f>'400'!C126+'404'!C126+'411'!C126+'425'!C126+'426'!C126</f>
        <v>6861.31</v>
      </c>
      <c r="D126" s="49">
        <f t="shared" si="136"/>
        <v>0.01</v>
      </c>
      <c r="E126" s="190">
        <f>'400'!E126+'404'!E126+'411'!E126+'425'!E126+'426'!E126</f>
        <v>5338.1059009155133</v>
      </c>
      <c r="F126" s="49">
        <f t="shared" si="137"/>
        <v>9.9999999999999985E-3</v>
      </c>
      <c r="G126" s="190">
        <f>'400'!G126+'404'!G126+'411'!G126+'425'!G126+'426'!G126</f>
        <v>8854.7446105461313</v>
      </c>
      <c r="H126" s="49">
        <f t="shared" si="138"/>
        <v>0.01</v>
      </c>
      <c r="I126" s="190">
        <f>'400'!I126+'404'!I126+'411'!I126+'425'!I126+'426'!I126</f>
        <v>7818.6887195548043</v>
      </c>
      <c r="J126" s="49">
        <f t="shared" si="139"/>
        <v>0.01</v>
      </c>
      <c r="K126" s="190">
        <f>'400'!K126+'404'!K126+'411'!K126+'425'!K126+'426'!K126</f>
        <v>7150.9873306798299</v>
      </c>
      <c r="L126" s="49">
        <f t="shared" si="140"/>
        <v>0.01</v>
      </c>
      <c r="M126" s="190">
        <f>'400'!M126+'404'!M126+'411'!M126+'425'!M126+'426'!M126</f>
        <v>10140.001027927929</v>
      </c>
      <c r="N126" s="49">
        <f t="shared" si="141"/>
        <v>9.9999999999999985E-3</v>
      </c>
      <c r="O126" s="190">
        <f>'400'!O126+'404'!O126+'411'!O126+'425'!O126+'426'!O126</f>
        <v>6419.7413346908252</v>
      </c>
      <c r="P126" s="49">
        <f t="shared" si="142"/>
        <v>0.01</v>
      </c>
      <c r="Q126" s="190">
        <f>'400'!Q126+'404'!Q126+'411'!Q126+'425'!Q126+'426'!Q126</f>
        <v>7971.6434355006495</v>
      </c>
      <c r="R126" s="49">
        <f t="shared" si="143"/>
        <v>1.0000000000000002E-2</v>
      </c>
      <c r="S126" s="190">
        <f>'400'!S126+'404'!S126+'411'!S126+'425'!S126+'426'!S126</f>
        <v>8030.4683908516799</v>
      </c>
      <c r="T126" s="49">
        <f t="shared" si="144"/>
        <v>0.01</v>
      </c>
      <c r="U126" s="190">
        <f>'400'!U126+'404'!U126+'411'!U126+'425'!U126+'426'!U126</f>
        <v>6369.8199606871021</v>
      </c>
      <c r="V126" s="49">
        <f t="shared" si="145"/>
        <v>1.0000000000000002E-2</v>
      </c>
      <c r="W126" s="190">
        <f>'400'!W126+'404'!W126+'411'!W126+'425'!W126+'426'!W126</f>
        <v>6480.9193622940893</v>
      </c>
      <c r="X126" s="49">
        <f t="shared" si="146"/>
        <v>0.01</v>
      </c>
      <c r="Y126" s="190">
        <f>'400'!Y126+'404'!Y126+'411'!Y126+'425'!Y126+'426'!Y126</f>
        <v>9790.4882120330658</v>
      </c>
      <c r="Z126" s="49">
        <f t="shared" si="147"/>
        <v>0.01</v>
      </c>
      <c r="AA126" s="320">
        <f>'400'!AA126+'404'!AA126+'411'!AA126+'425'!AA126+'426'!AA126</f>
        <v>91226.918285681619</v>
      </c>
      <c r="AB126" s="108">
        <f t="shared" si="148"/>
        <v>0.01</v>
      </c>
      <c r="AC126" s="89">
        <f t="shared" si="149"/>
        <v>7602.2431904734685</v>
      </c>
      <c r="AD126" s="92">
        <f t="shared" si="150"/>
        <v>1.0000000000000002E-2</v>
      </c>
      <c r="AE126" s="144"/>
      <c r="AF126" s="64">
        <f t="shared" si="134"/>
        <v>91226.918285681633</v>
      </c>
      <c r="AG126" s="27" t="e">
        <f>'400'!#REF!+#REF!+#REF!+#REF!+'404'!#REF!+#REF!+#REF!+#REF!+#REF!+#REF!+#REF!</f>
        <v>#REF!</v>
      </c>
      <c r="AH126" s="27" t="e">
        <f t="shared" si="164"/>
        <v>#REF!</v>
      </c>
      <c r="AI126" s="27">
        <f>'400'!AA126+'404'!AA126+'411'!AA126</f>
        <v>50905.75694309458</v>
      </c>
    </row>
    <row r="127" spans="1:35" customFormat="1">
      <c r="A127" s="2">
        <v>6414</v>
      </c>
      <c r="B127" s="2" t="s">
        <v>43</v>
      </c>
      <c r="C127" s="190">
        <f>'400'!C127+'404'!C127+'411'!C127+'425'!C127+'426'!C127</f>
        <v>400</v>
      </c>
      <c r="D127" s="49">
        <f t="shared" si="136"/>
        <v>5.8297905210521019E-4</v>
      </c>
      <c r="E127" s="190">
        <f>'400'!E127+'404'!E127+'411'!E127+'425'!E127+'426'!E127</f>
        <v>400</v>
      </c>
      <c r="F127" s="49">
        <f t="shared" si="137"/>
        <v>7.4932945772281849E-4</v>
      </c>
      <c r="G127" s="190">
        <f>'400'!G127+'404'!G127+'411'!G127+'425'!G127+'426'!G127</f>
        <v>400</v>
      </c>
      <c r="H127" s="49">
        <f t="shared" si="138"/>
        <v>4.5173521947046799E-4</v>
      </c>
      <c r="I127" s="190">
        <f>'400'!I127+'404'!I127+'411'!I127+'425'!I127+'426'!I127</f>
        <v>400</v>
      </c>
      <c r="J127" s="49">
        <f t="shared" si="139"/>
        <v>5.1159473710673056E-4</v>
      </c>
      <c r="K127" s="190">
        <f>'400'!K127+'404'!K127+'411'!K127+'425'!K127+'426'!K127</f>
        <v>400</v>
      </c>
      <c r="L127" s="49">
        <f t="shared" si="140"/>
        <v>5.5936331796293767E-4</v>
      </c>
      <c r="M127" s="190">
        <f>'400'!M127+'404'!M127+'411'!M127+'425'!M127+'426'!M127</f>
        <v>400</v>
      </c>
      <c r="N127" s="49">
        <f t="shared" si="141"/>
        <v>3.9447727756467346E-4</v>
      </c>
      <c r="O127" s="190">
        <f>'400'!O127+'404'!O127+'411'!O127+'425'!O127+'426'!O127</f>
        <v>400</v>
      </c>
      <c r="P127" s="49">
        <f t="shared" si="142"/>
        <v>6.2307806365731716E-4</v>
      </c>
      <c r="Q127" s="190">
        <f>'400'!Q127+'404'!Q127+'411'!Q127+'425'!Q127+'426'!Q127</f>
        <v>400</v>
      </c>
      <c r="R127" s="49">
        <f t="shared" si="143"/>
        <v>5.0177858961761074E-4</v>
      </c>
      <c r="S127" s="190">
        <f>'400'!S127+'404'!S127+'411'!S127+'425'!S127+'426'!S127</f>
        <v>400</v>
      </c>
      <c r="T127" s="49">
        <f t="shared" si="144"/>
        <v>4.9810295057717995E-4</v>
      </c>
      <c r="U127" s="190">
        <f>'400'!U127+'404'!U127+'411'!U127+'425'!U127+'426'!U127</f>
        <v>400</v>
      </c>
      <c r="V127" s="49">
        <f t="shared" si="145"/>
        <v>6.2796123354929602E-4</v>
      </c>
      <c r="W127" s="190">
        <f>'400'!W127+'404'!W127+'411'!W127+'425'!W127+'426'!W127</f>
        <v>400</v>
      </c>
      <c r="X127" s="49">
        <f t="shared" si="146"/>
        <v>6.1719638470923612E-4</v>
      </c>
      <c r="Y127" s="190">
        <f>'400'!Y127+'404'!Y127+'411'!Y127+'425'!Y127+'426'!Y127</f>
        <v>400</v>
      </c>
      <c r="Z127" s="49">
        <f t="shared" si="147"/>
        <v>4.0855980962050217E-4</v>
      </c>
      <c r="AA127" s="320">
        <f>'400'!AA127+'404'!AA127+'411'!AA127+'425'!AA127+'426'!AA127</f>
        <v>4800</v>
      </c>
      <c r="AB127" s="108">
        <f t="shared" si="148"/>
        <v>5.2616048971078485E-4</v>
      </c>
      <c r="AC127" s="89">
        <f t="shared" si="149"/>
        <v>400</v>
      </c>
      <c r="AD127" s="92">
        <f t="shared" si="150"/>
        <v>5.2616048971078496E-4</v>
      </c>
      <c r="AE127" s="144"/>
      <c r="AF127" s="64">
        <f t="shared" si="134"/>
        <v>4800</v>
      </c>
      <c r="AG127" s="27" t="e">
        <f>'400'!#REF!+#REF!+#REF!+#REF!+'404'!#REF!+#REF!+#REF!+#REF!+#REF!+#REF!+#REF!</f>
        <v>#REF!</v>
      </c>
      <c r="AH127" s="27" t="e">
        <f t="shared" si="164"/>
        <v>#REF!</v>
      </c>
      <c r="AI127" s="27">
        <f>'400'!AA127+'404'!AA127+'411'!AA127</f>
        <v>2400</v>
      </c>
    </row>
    <row r="128" spans="1:35" customFormat="1">
      <c r="A128" s="2">
        <v>6415</v>
      </c>
      <c r="B128" s="2" t="s">
        <v>44</v>
      </c>
      <c r="C128" s="190">
        <f>'400'!C128+'404'!C128+'411'!C128+'425'!C128+'426'!C128</f>
        <v>0</v>
      </c>
      <c r="D128" s="49">
        <f t="shared" si="136"/>
        <v>0</v>
      </c>
      <c r="E128" s="190">
        <f>'400'!E128+'404'!E128+'411'!E128+'425'!E128+'426'!E128</f>
        <v>0</v>
      </c>
      <c r="F128" s="49">
        <f t="shared" si="137"/>
        <v>0</v>
      </c>
      <c r="G128" s="190">
        <f>'400'!G128+'404'!G128+'411'!G128+'425'!G128+'426'!G128</f>
        <v>0</v>
      </c>
      <c r="H128" s="49">
        <f t="shared" si="138"/>
        <v>0</v>
      </c>
      <c r="I128" s="190">
        <f>'400'!I128+'404'!I128+'411'!I128+'425'!I128+'426'!I128</f>
        <v>0</v>
      </c>
      <c r="J128" s="49">
        <f t="shared" si="139"/>
        <v>0</v>
      </c>
      <c r="K128" s="190">
        <f>'400'!K128+'404'!K128+'411'!K128+'425'!K128+'426'!K128</f>
        <v>0</v>
      </c>
      <c r="L128" s="49">
        <f t="shared" si="140"/>
        <v>0</v>
      </c>
      <c r="M128" s="190">
        <f>'400'!M128+'404'!M128+'411'!M128+'425'!M128+'426'!M128</f>
        <v>0</v>
      </c>
      <c r="N128" s="49">
        <f t="shared" si="141"/>
        <v>0</v>
      </c>
      <c r="O128" s="190">
        <f>'400'!O128+'404'!O128+'411'!O128+'425'!O128+'426'!O128</f>
        <v>0</v>
      </c>
      <c r="P128" s="49">
        <f t="shared" si="142"/>
        <v>0</v>
      </c>
      <c r="Q128" s="190">
        <f>'400'!Q128+'404'!Q128+'411'!Q128+'425'!Q128+'426'!Q128</f>
        <v>0</v>
      </c>
      <c r="R128" s="49">
        <f t="shared" si="143"/>
        <v>0</v>
      </c>
      <c r="S128" s="190">
        <f>'400'!S128+'404'!S128+'411'!S128+'425'!S128+'426'!S128</f>
        <v>0</v>
      </c>
      <c r="T128" s="49">
        <f t="shared" si="144"/>
        <v>0</v>
      </c>
      <c r="U128" s="190">
        <f>'400'!U128+'404'!U128+'411'!U128+'425'!U128+'426'!U128</f>
        <v>0</v>
      </c>
      <c r="V128" s="49">
        <f t="shared" si="145"/>
        <v>0</v>
      </c>
      <c r="W128" s="190">
        <f>'400'!W128+'404'!W128+'411'!W128+'425'!W128+'426'!W128</f>
        <v>0</v>
      </c>
      <c r="X128" s="49">
        <f t="shared" si="146"/>
        <v>0</v>
      </c>
      <c r="Y128" s="190">
        <f>'400'!Y128+'404'!Y128+'411'!Y128+'425'!Y128+'426'!Y128</f>
        <v>0</v>
      </c>
      <c r="Z128" s="49">
        <f t="shared" si="147"/>
        <v>0</v>
      </c>
      <c r="AA128" s="320">
        <f>'400'!AA128+'404'!AA128+'411'!AA128+'425'!AA128+'426'!AA128</f>
        <v>0</v>
      </c>
      <c r="AB128" s="108">
        <f t="shared" si="148"/>
        <v>0</v>
      </c>
      <c r="AC128" s="89">
        <f t="shared" si="149"/>
        <v>0</v>
      </c>
      <c r="AD128" s="92">
        <f t="shared" si="150"/>
        <v>0</v>
      </c>
      <c r="AE128" s="144"/>
      <c r="AF128" s="64">
        <f t="shared" si="134"/>
        <v>0</v>
      </c>
      <c r="AG128" s="27" t="e">
        <f>'400'!#REF!+#REF!+#REF!+#REF!+'404'!#REF!+#REF!+#REF!+#REF!+#REF!+#REF!+#REF!</f>
        <v>#REF!</v>
      </c>
      <c r="AH128" s="27" t="e">
        <f t="shared" si="164"/>
        <v>#REF!</v>
      </c>
      <c r="AI128" s="27">
        <f>'400'!AA128+'404'!AA128+'411'!AA128</f>
        <v>0</v>
      </c>
    </row>
    <row r="129" spans="1:35" customFormat="1" ht="15.75" thickBot="1">
      <c r="A129" s="239">
        <v>6499</v>
      </c>
      <c r="B129" s="239" t="s">
        <v>102</v>
      </c>
      <c r="C129" s="240">
        <f>'400'!C129+'404'!C129+'411'!C129+'425'!C129+'426'!C129</f>
        <v>9761.3100000000013</v>
      </c>
      <c r="D129" s="241">
        <f t="shared" si="136"/>
        <v>1.4226598127762776E-2</v>
      </c>
      <c r="E129" s="240">
        <f>'400'!E129+'404'!E129+'411'!E129+'425'!E129+'426'!E129</f>
        <v>8238.1059009155142</v>
      </c>
      <c r="F129" s="241">
        <f t="shared" si="137"/>
        <v>1.5432638568490434E-2</v>
      </c>
      <c r="G129" s="240">
        <f>'400'!G129+'404'!G129+'411'!G129+'425'!G129+'426'!G129</f>
        <v>11754.744610546131</v>
      </c>
      <c r="H129" s="241">
        <f t="shared" si="138"/>
        <v>1.3275080341160893E-2</v>
      </c>
      <c r="I129" s="240">
        <f>'400'!I129+'404'!I129+'411'!I129+'425'!I129+'426'!I129</f>
        <v>10718.688719554806</v>
      </c>
      <c r="J129" s="241">
        <f t="shared" si="139"/>
        <v>1.3709061844023799E-2</v>
      </c>
      <c r="K129" s="240">
        <f>'400'!K129+'404'!K129+'411'!K129+'425'!K129+'426'!K129</f>
        <v>10050.987330679829</v>
      </c>
      <c r="L129" s="241">
        <f t="shared" si="140"/>
        <v>1.4055384055231298E-2</v>
      </c>
      <c r="M129" s="240">
        <f>'400'!M129+'404'!M129+'411'!M129+'425'!M129+'426'!M129</f>
        <v>13040.001027927929</v>
      </c>
      <c r="N129" s="241">
        <f t="shared" si="141"/>
        <v>1.2859960262343881E-2</v>
      </c>
      <c r="O129" s="240">
        <f>'400'!O129+'404'!O129+'411'!O129+'425'!O129+'426'!O129</f>
        <v>9319.7413346908252</v>
      </c>
      <c r="P129" s="241">
        <f t="shared" si="142"/>
        <v>1.4517315961515549E-2</v>
      </c>
      <c r="Q129" s="240">
        <f>'400'!Q129+'404'!Q129+'411'!Q129+'425'!Q129+'426'!Q129</f>
        <v>10871.64343550065</v>
      </c>
      <c r="R129" s="241">
        <f t="shared" si="143"/>
        <v>1.3637894774727679E-2</v>
      </c>
      <c r="S129" s="240">
        <f>'400'!S129+'404'!S129+'411'!S129+'425'!S129+'426'!S129</f>
        <v>10930.46839085168</v>
      </c>
      <c r="T129" s="241">
        <f t="shared" si="144"/>
        <v>1.3611246391684555E-2</v>
      </c>
      <c r="U129" s="240">
        <f>'400'!U129+'404'!U129+'411'!U129+'425'!U129+'426'!U129</f>
        <v>9269.8199606871021</v>
      </c>
      <c r="V129" s="241">
        <f t="shared" si="145"/>
        <v>1.4552718943232398E-2</v>
      </c>
      <c r="W129" s="240">
        <f>'400'!W129+'404'!W129+'411'!W129+'425'!W129+'426'!W129</f>
        <v>9380.9193622940893</v>
      </c>
      <c r="X129" s="241">
        <f t="shared" si="146"/>
        <v>1.4474673789141962E-2</v>
      </c>
      <c r="Y129" s="240">
        <f>'400'!Y129+'404'!Y129+'411'!Y129+'425'!Y129+'426'!Y129</f>
        <v>12690.488212033066</v>
      </c>
      <c r="Z129" s="241">
        <f t="shared" si="147"/>
        <v>1.2962058619748642E-2</v>
      </c>
      <c r="AA129" s="321">
        <f>'400'!AA129+'404'!AA129+'411'!AA129+'425'!AA129+'426'!AA129</f>
        <v>126026.91828568162</v>
      </c>
      <c r="AB129" s="241">
        <f t="shared" si="148"/>
        <v>1.381466355040319E-2</v>
      </c>
      <c r="AC129" s="325">
        <f t="shared" si="149"/>
        <v>10502.243190473468</v>
      </c>
      <c r="AD129" s="241">
        <f t="shared" si="150"/>
        <v>1.3814663550403191E-2</v>
      </c>
      <c r="AE129" s="144"/>
      <c r="AF129" s="64">
        <f t="shared" si="134"/>
        <v>126026.91828568163</v>
      </c>
      <c r="AG129" s="27" t="e">
        <f>'400'!#REF!+#REF!+#REF!+#REF!+'404'!#REF!+#REF!+#REF!+#REF!+#REF!+#REF!+#REF!</f>
        <v>#REF!</v>
      </c>
      <c r="AH129" s="27" t="e">
        <f t="shared" si="164"/>
        <v>#REF!</v>
      </c>
      <c r="AI129" s="27">
        <f>'400'!AA129+'404'!AA129+'411'!AA129</f>
        <v>71305.756943094573</v>
      </c>
    </row>
    <row r="130" spans="1:35" s="1" customFormat="1" ht="15.75" thickTop="1">
      <c r="A130" s="139"/>
      <c r="B130" s="139"/>
      <c r="C130" s="189">
        <f>'400'!C130+'404'!C130+'411'!C130+'425'!C130+'426'!C130</f>
        <v>0</v>
      </c>
      <c r="D130" s="49">
        <f t="shared" si="136"/>
        <v>0</v>
      </c>
      <c r="E130" s="189">
        <f>'400'!E130+'404'!E130+'411'!E130+'425'!E130+'426'!E130</f>
        <v>0</v>
      </c>
      <c r="F130" s="49">
        <f t="shared" si="137"/>
        <v>0</v>
      </c>
      <c r="G130" s="189">
        <f>'400'!G130+'404'!G130+'411'!G130+'425'!G130+'426'!G130</f>
        <v>0</v>
      </c>
      <c r="H130" s="49">
        <f t="shared" si="138"/>
        <v>0</v>
      </c>
      <c r="I130" s="189">
        <f>'400'!I130+'404'!I130+'411'!I130+'425'!I130+'426'!I130</f>
        <v>0</v>
      </c>
      <c r="J130" s="49">
        <f t="shared" si="139"/>
        <v>0</v>
      </c>
      <c r="K130" s="189">
        <f>'400'!K130+'404'!K130+'411'!K130+'425'!K130+'426'!K130</f>
        <v>0</v>
      </c>
      <c r="L130" s="49">
        <f t="shared" si="140"/>
        <v>0</v>
      </c>
      <c r="M130" s="189">
        <f>'400'!M130+'404'!M130+'411'!M130+'425'!M130+'426'!M130</f>
        <v>0</v>
      </c>
      <c r="N130" s="49">
        <f t="shared" si="141"/>
        <v>0</v>
      </c>
      <c r="O130" s="189">
        <f>'400'!O130+'404'!O130+'411'!O130+'425'!O130+'426'!O130</f>
        <v>0</v>
      </c>
      <c r="P130" s="49">
        <f t="shared" si="142"/>
        <v>0</v>
      </c>
      <c r="Q130" s="189">
        <f>'400'!Q130+'404'!Q130+'411'!Q130+'425'!Q130+'426'!Q130</f>
        <v>0</v>
      </c>
      <c r="R130" s="49">
        <f t="shared" si="143"/>
        <v>0</v>
      </c>
      <c r="S130" s="189">
        <f>'400'!S130+'404'!S130+'411'!S130+'425'!S130+'426'!S130</f>
        <v>0</v>
      </c>
      <c r="T130" s="49">
        <f t="shared" si="144"/>
        <v>0</v>
      </c>
      <c r="U130" s="189">
        <f>'400'!U130+'404'!U130+'411'!U130+'425'!U130+'426'!U130</f>
        <v>0</v>
      </c>
      <c r="V130" s="49">
        <f t="shared" si="145"/>
        <v>0</v>
      </c>
      <c r="W130" s="189">
        <f>'400'!W130+'404'!W130+'411'!W130+'425'!W130+'426'!W130</f>
        <v>0</v>
      </c>
      <c r="X130" s="49">
        <f t="shared" si="146"/>
        <v>0</v>
      </c>
      <c r="Y130" s="189">
        <f>'400'!Y130+'404'!Y130+'411'!Y130+'425'!Y130+'426'!Y130</f>
        <v>0</v>
      </c>
      <c r="Z130" s="49">
        <f t="shared" si="147"/>
        <v>0</v>
      </c>
      <c r="AA130" s="323">
        <f>'400'!AA130+'404'!AA130+'411'!AA130+'425'!AA130+'426'!AA130</f>
        <v>0</v>
      </c>
      <c r="AB130" s="108">
        <f t="shared" si="148"/>
        <v>0</v>
      </c>
      <c r="AC130" s="100">
        <f t="shared" si="149"/>
        <v>0</v>
      </c>
      <c r="AD130" s="92">
        <f t="shared" si="150"/>
        <v>0</v>
      </c>
      <c r="AE130" s="144"/>
      <c r="AF130" s="64">
        <f t="shared" si="134"/>
        <v>0</v>
      </c>
      <c r="AG130" s="27" t="e">
        <f>'400'!#REF!+#REF!+#REF!+#REF!+'404'!#REF!+#REF!+#REF!+#REF!+#REF!+#REF!+#REF!</f>
        <v>#REF!</v>
      </c>
      <c r="AH130" s="27" t="e">
        <f t="shared" si="164"/>
        <v>#REF!</v>
      </c>
      <c r="AI130" s="27">
        <f>'400'!AA130+'404'!AA130+'411'!AA130</f>
        <v>0</v>
      </c>
    </row>
    <row r="131" spans="1:35" s="1" customFormat="1" ht="15.75" thickBot="1">
      <c r="A131" s="239"/>
      <c r="B131" s="239" t="s">
        <v>125</v>
      </c>
      <c r="C131" s="242">
        <f>'400'!C131+'404'!C131+'411'!C131+'425'!C131+'426'!C131</f>
        <v>86403.921211381254</v>
      </c>
      <c r="D131" s="241">
        <f t="shared" si="136"/>
        <v>0.12592919021496077</v>
      </c>
      <c r="E131" s="242">
        <f>'400'!E131+'404'!E131+'411'!E131+'425'!E131+'426'!E131</f>
        <v>7121.741320158475</v>
      </c>
      <c r="F131" s="241">
        <f t="shared" si="137"/>
        <v>1.334132640369135E-2</v>
      </c>
      <c r="G131" s="242">
        <f>'400'!G131+'404'!G131+'411'!G131+'425'!G131+'426'!G131</f>
        <v>142831.78343974851</v>
      </c>
      <c r="H131" s="241">
        <f t="shared" si="138"/>
        <v>0.16130536759878286</v>
      </c>
      <c r="I131" s="242">
        <f>'400'!I131+'404'!I131+'411'!I131+'425'!I131+'426'!I131</f>
        <v>96570.155968350824</v>
      </c>
      <c r="J131" s="241">
        <f t="shared" si="139"/>
        <v>0.12351195888746103</v>
      </c>
      <c r="K131" s="242">
        <f>'400'!K131+'404'!K131+'411'!K131+'425'!K131+'426'!K131</f>
        <v>122206.39235591056</v>
      </c>
      <c r="L131" s="241">
        <f t="shared" si="140"/>
        <v>0.17089443276120678</v>
      </c>
      <c r="M131" s="242">
        <f>'400'!M131+'404'!M131+'411'!M131+'425'!M131+'426'!M131</f>
        <v>174607.98587668591</v>
      </c>
      <c r="N131" s="241">
        <f t="shared" si="141"/>
        <v>0.17219720727421503</v>
      </c>
      <c r="O131" s="242">
        <f>'400'!O131+'404'!O131+'411'!O131+'425'!O131+'426'!O131</f>
        <v>24721.064202013367</v>
      </c>
      <c r="P131" s="241">
        <f t="shared" si="142"/>
        <v>3.8507882036346773E-2</v>
      </c>
      <c r="Q131" s="242">
        <f>'400'!Q131+'404'!Q131+'411'!Q131+'425'!Q131+'426'!Q131</f>
        <v>57015.524600706754</v>
      </c>
      <c r="R131" s="241">
        <f t="shared" si="143"/>
        <v>7.1522923801127056E-2</v>
      </c>
      <c r="S131" s="242">
        <f>'400'!S131+'404'!S131+'411'!S131+'425'!S131+'426'!S131</f>
        <v>97527.391104786628</v>
      </c>
      <c r="T131" s="241">
        <f t="shared" si="144"/>
        <v>0.12144670317847209</v>
      </c>
      <c r="U131" s="242">
        <f>'400'!U131+'404'!U131+'411'!U131+'425'!U131+'426'!U131</f>
        <v>50355.022402080642</v>
      </c>
      <c r="V131" s="241">
        <f t="shared" si="145"/>
        <v>7.905250495753248E-2</v>
      </c>
      <c r="W131" s="242">
        <f>'400'!W131+'404'!W131+'411'!W131+'425'!W131+'426'!W131</f>
        <v>76506.829157480184</v>
      </c>
      <c r="X131" s="241">
        <f t="shared" si="146"/>
        <v>0.11804934590390985</v>
      </c>
      <c r="Y131" s="242">
        <f>'400'!Y131+'404'!Y131+'411'!Y131+'425'!Y131+'426'!Y131</f>
        <v>198508.24247526441</v>
      </c>
      <c r="Z131" s="241">
        <f t="shared" si="147"/>
        <v>0.20275622438448629</v>
      </c>
      <c r="AA131" s="109">
        <f>'400'!AA131+'404'!AA131+'411'!AA131+'425'!AA131+'426'!AA131</f>
        <v>1134376.0541145685</v>
      </c>
      <c r="AB131" s="241">
        <f t="shared" si="148"/>
        <v>0.12434663753106441</v>
      </c>
      <c r="AC131" s="242">
        <f t="shared" si="149"/>
        <v>94531.337842880705</v>
      </c>
      <c r="AD131" s="241">
        <f t="shared" si="150"/>
        <v>0.12434663753106444</v>
      </c>
      <c r="AE131" s="144"/>
      <c r="AF131" s="64">
        <f t="shared" si="134"/>
        <v>1134376.0541145676</v>
      </c>
      <c r="AG131" s="27" t="e">
        <f>'400'!#REF!+#REF!+#REF!+#REF!+'404'!#REF!+#REF!+#REF!+#REF!+#REF!+#REF!+#REF!</f>
        <v>#REF!</v>
      </c>
      <c r="AH131" s="27" t="e">
        <f t="shared" si="164"/>
        <v>#REF!</v>
      </c>
      <c r="AI131" s="27">
        <f>'400'!AA131+'404'!AA131+'411'!AA131</f>
        <v>346153.74174043711</v>
      </c>
    </row>
    <row r="132" spans="1:35" s="1" customFormat="1" ht="15.75" thickTop="1">
      <c r="A132" s="139"/>
      <c r="B132" s="139"/>
      <c r="C132" s="189">
        <f>'400'!C132+'404'!C132+'411'!C132+'425'!C132+'426'!C132</f>
        <v>0</v>
      </c>
      <c r="D132" s="49">
        <f t="shared" si="136"/>
        <v>0</v>
      </c>
      <c r="E132" s="189">
        <f>'400'!E132+'404'!E132+'411'!E132+'425'!E132+'426'!E132</f>
        <v>0</v>
      </c>
      <c r="F132" s="49">
        <f t="shared" si="137"/>
        <v>0</v>
      </c>
      <c r="G132" s="189">
        <f>'400'!G132+'404'!G132+'411'!G132+'425'!G132+'426'!G132</f>
        <v>0</v>
      </c>
      <c r="H132" s="49">
        <f t="shared" si="138"/>
        <v>0</v>
      </c>
      <c r="I132" s="189">
        <f>'400'!I132+'404'!I132+'411'!I132+'425'!I132+'426'!I132</f>
        <v>0</v>
      </c>
      <c r="J132" s="49">
        <f t="shared" si="139"/>
        <v>0</v>
      </c>
      <c r="K132" s="189">
        <f>'400'!K132+'404'!K132+'411'!K132+'425'!K132+'426'!K132</f>
        <v>0</v>
      </c>
      <c r="L132" s="49">
        <f t="shared" si="140"/>
        <v>0</v>
      </c>
      <c r="M132" s="189">
        <f>'400'!M132+'404'!M132+'411'!M132+'425'!M132+'426'!M132</f>
        <v>0</v>
      </c>
      <c r="N132" s="49">
        <f t="shared" si="141"/>
        <v>0</v>
      </c>
      <c r="O132" s="189">
        <f>'400'!O132+'404'!O132+'411'!O132+'425'!O132+'426'!O132</f>
        <v>0</v>
      </c>
      <c r="P132" s="49">
        <f t="shared" si="142"/>
        <v>0</v>
      </c>
      <c r="Q132" s="189">
        <f>'400'!Q132+'404'!Q132+'411'!Q132+'425'!Q132+'426'!Q132</f>
        <v>0</v>
      </c>
      <c r="R132" s="49">
        <f t="shared" si="143"/>
        <v>0</v>
      </c>
      <c r="S132" s="189">
        <f>'400'!S132+'404'!S132+'411'!S132+'425'!S132+'426'!S132</f>
        <v>0</v>
      </c>
      <c r="T132" s="49">
        <f t="shared" si="144"/>
        <v>0</v>
      </c>
      <c r="U132" s="189">
        <f>'400'!U132+'404'!U132+'411'!U132+'425'!U132+'426'!U132</f>
        <v>0</v>
      </c>
      <c r="V132" s="49">
        <f t="shared" si="145"/>
        <v>0</v>
      </c>
      <c r="W132" s="189">
        <f>'400'!W132+'404'!W132+'411'!W132+'425'!W132+'426'!W132</f>
        <v>0</v>
      </c>
      <c r="X132" s="49">
        <f t="shared" si="146"/>
        <v>0</v>
      </c>
      <c r="Y132" s="189">
        <f>'400'!Y132+'404'!Y132+'411'!Y132+'425'!Y132+'426'!Y132</f>
        <v>0</v>
      </c>
      <c r="Z132" s="49">
        <f t="shared" si="147"/>
        <v>0</v>
      </c>
      <c r="AA132" s="323">
        <f>'400'!AA132+'404'!AA132+'411'!AA132+'425'!AA132+'426'!AA132</f>
        <v>0</v>
      </c>
      <c r="AB132" s="108">
        <f t="shared" si="148"/>
        <v>0</v>
      </c>
      <c r="AC132" s="100">
        <f t="shared" si="149"/>
        <v>0</v>
      </c>
      <c r="AD132" s="92">
        <f t="shared" si="150"/>
        <v>0</v>
      </c>
      <c r="AE132" s="144"/>
      <c r="AF132" s="64">
        <f t="shared" si="134"/>
        <v>0</v>
      </c>
      <c r="AG132" s="27" t="e">
        <f>'400'!#REF!+#REF!+#REF!+#REF!+'404'!#REF!+#REF!+#REF!+#REF!+#REF!+#REF!+#REF!</f>
        <v>#REF!</v>
      </c>
      <c r="AH132" s="27" t="e">
        <f t="shared" si="164"/>
        <v>#REF!</v>
      </c>
      <c r="AI132" s="27">
        <f>'400'!AA132+'404'!AA132+'411'!AA132</f>
        <v>0</v>
      </c>
    </row>
    <row r="133" spans="1:35" s="1" customFormat="1" ht="15.75" thickBot="1">
      <c r="A133" s="239"/>
      <c r="B133" s="239" t="s">
        <v>140</v>
      </c>
      <c r="C133" s="240">
        <f>'400'!C133+'404'!C133+'411'!C133+'425'!C133+'426'!C133</f>
        <v>0</v>
      </c>
      <c r="D133" s="241">
        <f t="shared" si="136"/>
        <v>0</v>
      </c>
      <c r="E133" s="240">
        <f>'400'!E133+'404'!E133+'411'!E133+'425'!E133+'426'!E133</f>
        <v>0</v>
      </c>
      <c r="F133" s="241">
        <f t="shared" si="137"/>
        <v>0</v>
      </c>
      <c r="G133" s="240">
        <f>'400'!G133+'404'!G133+'411'!G133+'425'!G133+'426'!G133</f>
        <v>0</v>
      </c>
      <c r="H133" s="241">
        <f t="shared" si="138"/>
        <v>0</v>
      </c>
      <c r="I133" s="240">
        <f>'400'!I133+'404'!I133+'411'!I133+'425'!I133+'426'!I133</f>
        <v>0</v>
      </c>
      <c r="J133" s="241">
        <f t="shared" si="139"/>
        <v>0</v>
      </c>
      <c r="K133" s="240">
        <f>'400'!K133+'404'!K133+'411'!K133+'425'!K133+'426'!K133</f>
        <v>0</v>
      </c>
      <c r="L133" s="241">
        <f t="shared" si="140"/>
        <v>0</v>
      </c>
      <c r="M133" s="240">
        <f>'400'!M133+'404'!M133+'411'!M133+'425'!M133+'426'!M133</f>
        <v>0</v>
      </c>
      <c r="N133" s="241">
        <f t="shared" si="141"/>
        <v>0</v>
      </c>
      <c r="O133" s="240">
        <f>'400'!O133+'404'!O133+'411'!O133+'425'!O133+'426'!O133</f>
        <v>0</v>
      </c>
      <c r="P133" s="241">
        <f t="shared" si="142"/>
        <v>0</v>
      </c>
      <c r="Q133" s="240">
        <f>'400'!Q133+'404'!Q133+'411'!Q133+'425'!Q133+'426'!Q133</f>
        <v>0</v>
      </c>
      <c r="R133" s="241">
        <f t="shared" si="143"/>
        <v>0</v>
      </c>
      <c r="S133" s="240">
        <f>'400'!S133+'404'!S133+'411'!S133+'425'!S133+'426'!S133</f>
        <v>0</v>
      </c>
      <c r="T133" s="241">
        <f t="shared" si="144"/>
        <v>0</v>
      </c>
      <c r="U133" s="240">
        <f>'400'!U133+'404'!U133+'411'!U133+'425'!U133+'426'!U133</f>
        <v>0</v>
      </c>
      <c r="V133" s="241">
        <f t="shared" si="145"/>
        <v>0</v>
      </c>
      <c r="W133" s="240">
        <f>'400'!W133+'404'!W133+'411'!W133+'425'!W133+'426'!W133</f>
        <v>0</v>
      </c>
      <c r="X133" s="241">
        <f t="shared" si="146"/>
        <v>0</v>
      </c>
      <c r="Y133" s="240">
        <f>'400'!Y133+'404'!Y133+'411'!Y133+'425'!Y133+'426'!Y133</f>
        <v>0</v>
      </c>
      <c r="Z133" s="241">
        <f t="shared" si="147"/>
        <v>0</v>
      </c>
      <c r="AA133" s="321">
        <f>'400'!AA133+'404'!AA133+'411'!AA133+'425'!AA133+'426'!AA133</f>
        <v>0</v>
      </c>
      <c r="AB133" s="241">
        <f t="shared" si="148"/>
        <v>0</v>
      </c>
      <c r="AC133" s="242">
        <f t="shared" si="149"/>
        <v>0</v>
      </c>
      <c r="AD133" s="241">
        <f t="shared" si="150"/>
        <v>0</v>
      </c>
      <c r="AE133" s="144"/>
      <c r="AF133" s="64">
        <f t="shared" si="134"/>
        <v>0</v>
      </c>
      <c r="AG133" s="27" t="e">
        <f>'400'!#REF!+#REF!+#REF!+#REF!+'404'!#REF!+#REF!+#REF!+#REF!+#REF!+#REF!+#REF!</f>
        <v>#REF!</v>
      </c>
      <c r="AH133" s="27" t="e">
        <f t="shared" si="164"/>
        <v>#REF!</v>
      </c>
      <c r="AI133" s="27">
        <f>'400'!AA133+'404'!AA133+'411'!AA133</f>
        <v>0</v>
      </c>
    </row>
    <row r="134" spans="1:35" s="1" customFormat="1" ht="15.75" thickTop="1">
      <c r="A134" s="139"/>
      <c r="B134" s="139"/>
      <c r="C134" s="189">
        <f>'400'!C134+'404'!C134+'411'!C134+'425'!C134+'426'!C134</f>
        <v>0</v>
      </c>
      <c r="D134" s="49">
        <f t="shared" si="136"/>
        <v>0</v>
      </c>
      <c r="E134" s="189">
        <f>'400'!E134+'404'!E134+'411'!E134+'425'!E134+'426'!E134</f>
        <v>0</v>
      </c>
      <c r="F134" s="49">
        <f t="shared" si="137"/>
        <v>0</v>
      </c>
      <c r="G134" s="189">
        <f>'400'!G134+'404'!G134+'411'!G134+'425'!G134+'426'!G134</f>
        <v>0</v>
      </c>
      <c r="H134" s="49">
        <f t="shared" si="138"/>
        <v>0</v>
      </c>
      <c r="I134" s="189">
        <f>'400'!I134+'404'!I134+'411'!I134+'425'!I134+'426'!I134</f>
        <v>0</v>
      </c>
      <c r="J134" s="49">
        <f t="shared" si="139"/>
        <v>0</v>
      </c>
      <c r="K134" s="189">
        <f>'400'!K134+'404'!K134+'411'!K134+'425'!K134+'426'!K134</f>
        <v>0</v>
      </c>
      <c r="L134" s="49">
        <f t="shared" si="140"/>
        <v>0</v>
      </c>
      <c r="M134" s="189">
        <f>'400'!M134+'404'!M134+'411'!M134+'425'!M134+'426'!M134</f>
        <v>0</v>
      </c>
      <c r="N134" s="49">
        <f t="shared" si="141"/>
        <v>0</v>
      </c>
      <c r="O134" s="189">
        <f>'400'!O134+'404'!O134+'411'!O134+'425'!O134+'426'!O134</f>
        <v>0</v>
      </c>
      <c r="P134" s="49">
        <f t="shared" si="142"/>
        <v>0</v>
      </c>
      <c r="Q134" s="189">
        <f>'400'!Q134+'404'!Q134+'411'!Q134+'425'!Q134+'426'!Q134</f>
        <v>0</v>
      </c>
      <c r="R134" s="49">
        <f t="shared" si="143"/>
        <v>0</v>
      </c>
      <c r="S134" s="189">
        <f>'400'!S134+'404'!S134+'411'!S134+'425'!S134+'426'!S134</f>
        <v>0</v>
      </c>
      <c r="T134" s="49">
        <f t="shared" si="144"/>
        <v>0</v>
      </c>
      <c r="U134" s="189">
        <f>'400'!U134+'404'!U134+'411'!U134+'425'!U134+'426'!U134</f>
        <v>0</v>
      </c>
      <c r="V134" s="49">
        <f t="shared" si="145"/>
        <v>0</v>
      </c>
      <c r="W134" s="189">
        <f>'400'!W134+'404'!W134+'411'!W134+'425'!W134+'426'!W134</f>
        <v>0</v>
      </c>
      <c r="X134" s="49">
        <f t="shared" si="146"/>
        <v>0</v>
      </c>
      <c r="Y134" s="189">
        <f>'400'!Y134+'404'!Y134+'411'!Y134+'425'!Y134+'426'!Y134</f>
        <v>0</v>
      </c>
      <c r="Z134" s="49">
        <f t="shared" si="147"/>
        <v>0</v>
      </c>
      <c r="AA134" s="323">
        <f>'400'!AA134+'404'!AA134+'411'!AA134+'425'!AA134+'426'!AA134</f>
        <v>0</v>
      </c>
      <c r="AB134" s="108">
        <f t="shared" si="148"/>
        <v>0</v>
      </c>
      <c r="AC134" s="100">
        <f t="shared" si="149"/>
        <v>0</v>
      </c>
      <c r="AD134" s="92">
        <f t="shared" si="150"/>
        <v>0</v>
      </c>
      <c r="AE134" s="144"/>
      <c r="AF134" s="64">
        <f t="shared" si="134"/>
        <v>0</v>
      </c>
      <c r="AG134" s="27" t="e">
        <f>'400'!#REF!+#REF!+#REF!+#REF!+'404'!#REF!+#REF!+#REF!+#REF!+#REF!+#REF!+#REF!</f>
        <v>#REF!</v>
      </c>
      <c r="AH134" s="27" t="e">
        <f t="shared" si="164"/>
        <v>#REF!</v>
      </c>
      <c r="AI134" s="27">
        <f>'400'!AA134+'404'!AA134+'411'!AA134</f>
        <v>0</v>
      </c>
    </row>
    <row r="135" spans="1:35" s="1" customFormat="1" ht="15.75" thickBot="1">
      <c r="A135" s="239"/>
      <c r="B135" s="239" t="s">
        <v>131</v>
      </c>
      <c r="C135" s="242">
        <f>'400'!C135+'404'!C135+'411'!C135+'425'!C135+'426'!C135</f>
        <v>86403.921211381254</v>
      </c>
      <c r="D135" s="241">
        <f t="shared" si="136"/>
        <v>0.12592919021496077</v>
      </c>
      <c r="E135" s="242">
        <f>'400'!E135+'404'!E135+'411'!E135+'425'!E135+'426'!E135</f>
        <v>7121.741320158475</v>
      </c>
      <c r="F135" s="241">
        <f t="shared" si="137"/>
        <v>1.334132640369135E-2</v>
      </c>
      <c r="G135" s="242">
        <f>'400'!G135+'404'!G135+'411'!G135+'425'!G135+'426'!G135</f>
        <v>142831.78343974851</v>
      </c>
      <c r="H135" s="241">
        <f t="shared" si="138"/>
        <v>0.16130536759878286</v>
      </c>
      <c r="I135" s="242">
        <f>'400'!I135+'404'!I135+'411'!I135+'425'!I135+'426'!I135</f>
        <v>96570.155968350824</v>
      </c>
      <c r="J135" s="241">
        <f t="shared" si="139"/>
        <v>0.12351195888746103</v>
      </c>
      <c r="K135" s="242">
        <f>'400'!K135+'404'!K135+'411'!K135+'425'!K135+'426'!K135</f>
        <v>122206.39235591056</v>
      </c>
      <c r="L135" s="241">
        <f t="shared" si="140"/>
        <v>0.17089443276120678</v>
      </c>
      <c r="M135" s="242">
        <f>'400'!M135+'404'!M135+'411'!M135+'425'!M135+'426'!M135</f>
        <v>174607.98587668591</v>
      </c>
      <c r="N135" s="241">
        <f t="shared" si="141"/>
        <v>0.17219720727421503</v>
      </c>
      <c r="O135" s="242">
        <f>'400'!O135+'404'!O135+'411'!O135+'425'!O135+'426'!O135</f>
        <v>24721.064202013367</v>
      </c>
      <c r="P135" s="241">
        <f t="shared" si="142"/>
        <v>3.8507882036346773E-2</v>
      </c>
      <c r="Q135" s="242">
        <f>'400'!Q135+'404'!Q135+'411'!Q135+'425'!Q135+'426'!Q135</f>
        <v>57015.524600706754</v>
      </c>
      <c r="R135" s="241">
        <f t="shared" si="143"/>
        <v>7.1522923801127056E-2</v>
      </c>
      <c r="S135" s="242">
        <f>'400'!S135+'404'!S135+'411'!S135+'425'!S135+'426'!S135</f>
        <v>97527.391104786628</v>
      </c>
      <c r="T135" s="241">
        <f t="shared" si="144"/>
        <v>0.12144670317847209</v>
      </c>
      <c r="U135" s="242">
        <f>'400'!U135+'404'!U135+'411'!U135+'425'!U135+'426'!U135</f>
        <v>50355.022402080642</v>
      </c>
      <c r="V135" s="241">
        <f t="shared" si="145"/>
        <v>7.905250495753248E-2</v>
      </c>
      <c r="W135" s="242">
        <f>'400'!W135+'404'!W135+'411'!W135+'425'!W135+'426'!W135</f>
        <v>76506.829157480184</v>
      </c>
      <c r="X135" s="241">
        <f t="shared" si="146"/>
        <v>0.11804934590390985</v>
      </c>
      <c r="Y135" s="242">
        <f>'400'!Y135+'404'!Y135+'411'!Y135+'425'!Y135+'426'!Y135</f>
        <v>198508.24247526441</v>
      </c>
      <c r="Z135" s="241">
        <f t="shared" si="147"/>
        <v>0.20275622438448629</v>
      </c>
      <c r="AA135" s="109">
        <f>'400'!AA135+'404'!AA135+'411'!AA135+'425'!AA135+'426'!AA135</f>
        <v>1134376.0541145685</v>
      </c>
      <c r="AB135" s="241">
        <f t="shared" si="148"/>
        <v>0.12434663753106441</v>
      </c>
      <c r="AC135" s="242">
        <f t="shared" si="149"/>
        <v>94531.337842880705</v>
      </c>
      <c r="AD135" s="241">
        <f t="shared" si="150"/>
        <v>0.12434663753106444</v>
      </c>
      <c r="AE135" s="144"/>
      <c r="AF135" s="64">
        <f t="shared" si="134"/>
        <v>1134376.0541145676</v>
      </c>
      <c r="AG135" s="27" t="e">
        <f>'400'!#REF!+#REF!+#REF!+#REF!+'404'!#REF!+#REF!+#REF!+#REF!+#REF!+#REF!+#REF!</f>
        <v>#REF!</v>
      </c>
      <c r="AH135" s="27" t="e">
        <f t="shared" si="164"/>
        <v>#REF!</v>
      </c>
      <c r="AI135" s="27">
        <f>'400'!AA135+'404'!AA135+'411'!AA135</f>
        <v>346153.74174043711</v>
      </c>
    </row>
    <row r="136" spans="1:35" customFormat="1" ht="15.75" thickTop="1">
      <c r="A136" s="20">
        <v>6501</v>
      </c>
      <c r="B136" s="147" t="s">
        <v>139</v>
      </c>
      <c r="C136" s="190">
        <f>'400'!C136+'404'!C136+'411'!C136+'425'!C136+'426'!C136</f>
        <v>0</v>
      </c>
      <c r="D136" s="49">
        <f t="shared" si="136"/>
        <v>0</v>
      </c>
      <c r="E136" s="190">
        <f>'400'!E136+'404'!E136+'411'!E136+'425'!E136+'426'!E136</f>
        <v>0</v>
      </c>
      <c r="F136" s="49">
        <f t="shared" si="137"/>
        <v>0</v>
      </c>
      <c r="G136" s="190">
        <f>'400'!G136+'404'!G136+'411'!G136+'425'!G136+'426'!G136</f>
        <v>0</v>
      </c>
      <c r="H136" s="49">
        <f t="shared" si="138"/>
        <v>0</v>
      </c>
      <c r="I136" s="190">
        <f>'400'!I136+'404'!I136+'411'!I136+'425'!I136+'426'!I136</f>
        <v>0</v>
      </c>
      <c r="J136" s="49">
        <f t="shared" si="139"/>
        <v>0</v>
      </c>
      <c r="K136" s="190">
        <f>'400'!K136+'404'!K136+'411'!K136+'425'!K136+'426'!K136</f>
        <v>0</v>
      </c>
      <c r="L136" s="49">
        <f t="shared" si="140"/>
        <v>0</v>
      </c>
      <c r="M136" s="190">
        <f>'400'!M136+'404'!M136+'411'!M136+'425'!M136+'426'!M136</f>
        <v>0</v>
      </c>
      <c r="N136" s="49">
        <f t="shared" si="141"/>
        <v>0</v>
      </c>
      <c r="O136" s="190">
        <f>'400'!O136+'404'!O136+'411'!O136+'425'!O136+'426'!O136</f>
        <v>0</v>
      </c>
      <c r="P136" s="49">
        <f t="shared" si="142"/>
        <v>0</v>
      </c>
      <c r="Q136" s="190">
        <f>'400'!Q136+'404'!Q136+'411'!Q136+'425'!Q136+'426'!Q136</f>
        <v>0</v>
      </c>
      <c r="R136" s="49">
        <f t="shared" si="143"/>
        <v>0</v>
      </c>
      <c r="S136" s="190">
        <f>'400'!S136+'404'!S136+'411'!S136+'425'!S136+'426'!S136</f>
        <v>0</v>
      </c>
      <c r="T136" s="49">
        <f t="shared" si="144"/>
        <v>0</v>
      </c>
      <c r="U136" s="190">
        <f>'400'!U136+'404'!U136+'411'!U136+'425'!U136+'426'!U136</f>
        <v>0</v>
      </c>
      <c r="V136" s="49">
        <f t="shared" si="145"/>
        <v>0</v>
      </c>
      <c r="W136" s="190">
        <f>'400'!W136+'404'!W136+'411'!W136+'425'!W136+'426'!W136</f>
        <v>0</v>
      </c>
      <c r="X136" s="49">
        <f t="shared" si="146"/>
        <v>0</v>
      </c>
      <c r="Y136" s="190">
        <f>'400'!Y136+'404'!Y136+'411'!Y136+'425'!Y136+'426'!Y136</f>
        <v>0</v>
      </c>
      <c r="Z136" s="49">
        <f t="shared" si="147"/>
        <v>0</v>
      </c>
      <c r="AA136" s="320">
        <f>'400'!AA136+'404'!AA136+'411'!AA136+'425'!AA136+'426'!AA136</f>
        <v>0</v>
      </c>
      <c r="AB136" s="108">
        <f t="shared" si="148"/>
        <v>0</v>
      </c>
      <c r="AC136" s="89">
        <f t="shared" si="149"/>
        <v>0</v>
      </c>
      <c r="AD136" s="92">
        <f t="shared" si="150"/>
        <v>0</v>
      </c>
      <c r="AE136" s="144"/>
      <c r="AF136" s="64">
        <f t="shared" si="134"/>
        <v>0</v>
      </c>
      <c r="AG136" s="27" t="e">
        <f>'400'!#REF!+#REF!+#REF!+#REF!+'404'!#REF!+#REF!+#REF!+#REF!+#REF!+#REF!+#REF!</f>
        <v>#REF!</v>
      </c>
      <c r="AH136" s="27" t="e">
        <f t="shared" si="164"/>
        <v>#REF!</v>
      </c>
      <c r="AI136" s="27">
        <f>'400'!AA136+'404'!AA136+'411'!AA136</f>
        <v>0</v>
      </c>
    </row>
    <row r="137" spans="1:35" customFormat="1">
      <c r="A137" s="128">
        <v>6502</v>
      </c>
      <c r="B137" s="147" t="s">
        <v>127</v>
      </c>
      <c r="C137" s="190">
        <f>'400'!C137+'404'!C137+'411'!C137+'425'!C137+'426'!C137</f>
        <v>50306.320000000007</v>
      </c>
      <c r="D137" s="49">
        <f t="shared" si="136"/>
        <v>7.3318826871253462E-2</v>
      </c>
      <c r="E137" s="190">
        <f>'400'!E137+'404'!E137+'411'!E137+'425'!E137+'426'!E137</f>
        <v>50269.3</v>
      </c>
      <c r="F137" s="49">
        <f t="shared" si="137"/>
        <v>9.4170668272764213E-2</v>
      </c>
      <c r="G137" s="190">
        <f>'400'!G137+'404'!G137+'411'!G137+'425'!G137+'426'!G137</f>
        <v>50343.320000000007</v>
      </c>
      <c r="H137" s="49">
        <f t="shared" si="138"/>
        <v>5.6854626772680009E-2</v>
      </c>
      <c r="I137" s="190">
        <f>'400'!I137+'404'!I137+'411'!I137+'425'!I137+'426'!I137</f>
        <v>50306.320000000007</v>
      </c>
      <c r="J137" s="49">
        <f t="shared" si="139"/>
        <v>6.4341121388017661E-2</v>
      </c>
      <c r="K137" s="190">
        <f>'400'!K137+'404'!K137+'411'!K137+'425'!K137+'426'!K137</f>
        <v>50306.320000000007</v>
      </c>
      <c r="L137" s="49">
        <f t="shared" si="140"/>
        <v>7.0348775174263231E-2</v>
      </c>
      <c r="M137" s="190">
        <f>'400'!M137+'404'!M137+'411'!M137+'425'!M137+'426'!M137</f>
        <v>50306.3</v>
      </c>
      <c r="N137" s="49">
        <f t="shared" si="141"/>
        <v>4.9611730670879331E-2</v>
      </c>
      <c r="O137" s="190">
        <f>'400'!O137+'404'!O137+'411'!O137+'425'!O137+'426'!O137</f>
        <v>50306.320000000007</v>
      </c>
      <c r="P137" s="49">
        <f t="shared" si="142"/>
        <v>7.8361911138313423E-2</v>
      </c>
      <c r="Q137" s="190">
        <f>'400'!Q137+'404'!Q137+'411'!Q137+'425'!Q137+'426'!Q137</f>
        <v>50306.320000000007</v>
      </c>
      <c r="R137" s="49">
        <f t="shared" si="143"/>
        <v>6.3106585746130511E-2</v>
      </c>
      <c r="S137" s="190">
        <f>'400'!S137+'404'!S137+'411'!S137+'425'!S137+'426'!S137</f>
        <v>50306.320000000007</v>
      </c>
      <c r="T137" s="49">
        <f t="shared" si="144"/>
        <v>6.2644316061699512E-2</v>
      </c>
      <c r="U137" s="190">
        <f>'400'!U137+'404'!U137+'411'!U137+'425'!U137+'426'!U137</f>
        <v>50297.590000000011</v>
      </c>
      <c r="V137" s="49">
        <f t="shared" si="145"/>
        <v>7.8962341652391854E-2</v>
      </c>
      <c r="W137" s="190">
        <f>'400'!W137+'404'!W137+'411'!W137+'425'!W137+'426'!W137</f>
        <v>50297.590000000011</v>
      </c>
      <c r="X137" s="49">
        <f t="shared" si="146"/>
        <v>7.7608726768968586E-2</v>
      </c>
      <c r="Y137" s="190">
        <f>'400'!Y137+'404'!Y137+'411'!Y137+'425'!Y137+'426'!Y137</f>
        <v>50297.590000000011</v>
      </c>
      <c r="Z137" s="49">
        <f t="shared" si="147"/>
        <v>5.1373934486925198E-2</v>
      </c>
      <c r="AA137" s="320">
        <f>'400'!AA137+'404'!AA137+'411'!AA137+'425'!AA137+'426'!AA137</f>
        <v>603649.61</v>
      </c>
      <c r="AB137" s="108">
        <f t="shared" si="148"/>
        <v>6.6170119669025904E-2</v>
      </c>
      <c r="AC137" s="89">
        <f t="shared" si="149"/>
        <v>50304.134166666663</v>
      </c>
      <c r="AD137" s="92">
        <f t="shared" si="150"/>
        <v>6.6170119669025904E-2</v>
      </c>
      <c r="AE137" s="144"/>
      <c r="AF137" s="64">
        <f t="shared" si="134"/>
        <v>603649.61</v>
      </c>
      <c r="AG137" s="27" t="e">
        <f>'400'!#REF!+#REF!+#REF!+#REF!+'404'!#REF!+#REF!+#REF!+#REF!+#REF!+#REF!+#REF!</f>
        <v>#REF!</v>
      </c>
      <c r="AH137" s="27" t="e">
        <f t="shared" si="164"/>
        <v>#REF!</v>
      </c>
      <c r="AI137" s="27">
        <f>'400'!AA137+'404'!AA137+'411'!AA137</f>
        <v>308302.13</v>
      </c>
    </row>
    <row r="138" spans="1:35" customFormat="1">
      <c r="A138" s="128">
        <v>6503</v>
      </c>
      <c r="B138" s="147" t="s">
        <v>128</v>
      </c>
      <c r="C138" s="190">
        <f>'400'!C138+'404'!C138+'411'!C138+'425'!C138+'426'!C138</f>
        <v>3227.89</v>
      </c>
      <c r="D138" s="49">
        <f t="shared" si="136"/>
        <v>4.704480631249717E-3</v>
      </c>
      <c r="E138" s="190">
        <f>'400'!E138+'404'!E138+'411'!E138+'425'!E138+'426'!E138</f>
        <v>3227.91</v>
      </c>
      <c r="F138" s="49">
        <f t="shared" si="137"/>
        <v>6.0469201246951577E-3</v>
      </c>
      <c r="G138" s="190">
        <f>'400'!G138+'404'!G138+'411'!G138+'425'!G138+'426'!G138</f>
        <v>3227.9</v>
      </c>
      <c r="H138" s="49">
        <f t="shared" si="138"/>
        <v>3.6453902873218092E-3</v>
      </c>
      <c r="I138" s="190">
        <f>'400'!I138+'404'!I138+'411'!I138+'425'!I138+'426'!I138</f>
        <v>3227.91</v>
      </c>
      <c r="J138" s="49">
        <f t="shared" si="139"/>
        <v>4.1284544196354663E-3</v>
      </c>
      <c r="K138" s="190">
        <f>'400'!K138+'404'!K138+'411'!K138+'425'!K138+'426'!K138</f>
        <v>3227.9</v>
      </c>
      <c r="L138" s="49">
        <f t="shared" si="140"/>
        <v>4.5139221351314157E-3</v>
      </c>
      <c r="M138" s="190">
        <f>'400'!M138+'404'!M138+'411'!M138+'425'!M138+'426'!M138</f>
        <v>3227.89</v>
      </c>
      <c r="N138" s="49">
        <f t="shared" si="141"/>
        <v>3.1833231486955845E-3</v>
      </c>
      <c r="O138" s="190">
        <f>'400'!O138+'404'!O138+'411'!O138+'425'!O138+'426'!O138</f>
        <v>3227.9</v>
      </c>
      <c r="P138" s="49">
        <f t="shared" si="142"/>
        <v>5.0280842041986349E-3</v>
      </c>
      <c r="Q138" s="190">
        <f>'400'!Q138+'404'!Q138+'411'!Q138+'425'!Q138+'426'!Q138</f>
        <v>2364.33</v>
      </c>
      <c r="R138" s="49">
        <f t="shared" si="143"/>
        <v>2.9659254319765135E-3</v>
      </c>
      <c r="S138" s="190">
        <f>'400'!S138+'404'!S138+'411'!S138+'425'!S138+'426'!S138</f>
        <v>2364.33</v>
      </c>
      <c r="T138" s="49">
        <f t="shared" si="144"/>
        <v>2.9441993728453594E-3</v>
      </c>
      <c r="U138" s="190">
        <f>'400'!U138+'404'!U138+'411'!U138+'425'!U138+'426'!U138</f>
        <v>2364.33</v>
      </c>
      <c r="V138" s="49">
        <f t="shared" si="145"/>
        <v>3.7117689582940173E-3</v>
      </c>
      <c r="W138" s="190">
        <f>'400'!W138+'404'!W138+'411'!W138+'425'!W138+'426'!W138</f>
        <v>2364.33</v>
      </c>
      <c r="X138" s="49">
        <f t="shared" si="146"/>
        <v>3.6481398206489705E-3</v>
      </c>
      <c r="Y138" s="190">
        <f>'400'!Y138+'404'!Y138+'411'!Y138+'425'!Y138+'426'!Y138</f>
        <v>2364.33</v>
      </c>
      <c r="Z138" s="49">
        <f t="shared" si="147"/>
        <v>2.4149255367001046E-3</v>
      </c>
      <c r="AA138" s="320">
        <f>'400'!AA138+'404'!AA138+'411'!AA138+'425'!AA138+'426'!AA138</f>
        <v>34416.949999999997</v>
      </c>
      <c r="AB138" s="108">
        <f t="shared" si="148"/>
        <v>3.7726748471565825E-3</v>
      </c>
      <c r="AC138" s="89">
        <f t="shared" si="149"/>
        <v>2868.0791666666664</v>
      </c>
      <c r="AD138" s="92">
        <f t="shared" si="150"/>
        <v>3.7726748471565833E-3</v>
      </c>
      <c r="AE138" s="144"/>
      <c r="AF138" s="64">
        <f t="shared" si="134"/>
        <v>34416.950000000004</v>
      </c>
      <c r="AG138" s="27" t="e">
        <f>'400'!#REF!+#REF!+#REF!+#REF!+'404'!#REF!+#REF!+#REF!+#REF!+#REF!+#REF!+#REF!</f>
        <v>#REF!</v>
      </c>
      <c r="AH138" s="27" t="e">
        <f t="shared" si="164"/>
        <v>#REF!</v>
      </c>
      <c r="AI138" s="27">
        <f>'400'!AA138+'404'!AA138+'411'!AA138</f>
        <v>6373.79</v>
      </c>
    </row>
    <row r="139" spans="1:35" customFormat="1">
      <c r="A139" s="2">
        <v>6504</v>
      </c>
      <c r="B139" s="147" t="s">
        <v>129</v>
      </c>
      <c r="C139" s="190">
        <f>'400'!C139+'404'!C139+'411'!C139+'425'!C139+'426'!C139</f>
        <v>153.44999999999999</v>
      </c>
      <c r="D139" s="49">
        <f t="shared" si="136"/>
        <v>2.2364533886386125E-4</v>
      </c>
      <c r="E139" s="190">
        <f>'400'!E139+'404'!E139+'411'!E139+'425'!E139+'426'!E139</f>
        <v>153.44999999999999</v>
      </c>
      <c r="F139" s="49">
        <f t="shared" si="137"/>
        <v>2.8746151321891624E-4</v>
      </c>
      <c r="G139" s="190">
        <f>'400'!G139+'404'!G139+'411'!G139+'425'!G139+'426'!G139</f>
        <v>153.44999999999999</v>
      </c>
      <c r="H139" s="49">
        <f t="shared" si="138"/>
        <v>1.7329692356935825E-4</v>
      </c>
      <c r="I139" s="190">
        <f>'400'!I139+'404'!I139+'411'!I139+'425'!I139+'426'!I139</f>
        <v>153.44999999999999</v>
      </c>
      <c r="J139" s="49">
        <f t="shared" si="139"/>
        <v>1.962605310225695E-4</v>
      </c>
      <c r="K139" s="190">
        <f>'400'!K139+'404'!K139+'411'!K139+'425'!K139+'426'!K139</f>
        <v>153.44999999999999</v>
      </c>
      <c r="L139" s="49">
        <f t="shared" si="140"/>
        <v>2.1458575285353192E-4</v>
      </c>
      <c r="M139" s="190">
        <f>'400'!M139+'404'!M139+'411'!M139+'425'!M139+'426'!M139</f>
        <v>153.44999999999999</v>
      </c>
      <c r="N139" s="49">
        <f t="shared" si="141"/>
        <v>1.5133134560574784E-4</v>
      </c>
      <c r="O139" s="190">
        <f>'400'!O139+'404'!O139+'411'!O139+'425'!O139+'426'!O139</f>
        <v>153.44999999999999</v>
      </c>
      <c r="P139" s="49">
        <f t="shared" si="142"/>
        <v>2.3902832217053826E-4</v>
      </c>
      <c r="Q139" s="190">
        <f>'400'!Q139+'404'!Q139+'411'!Q139+'425'!Q139+'426'!Q139</f>
        <v>153.44999999999999</v>
      </c>
      <c r="R139" s="49">
        <f t="shared" si="143"/>
        <v>1.9249481144205589E-4</v>
      </c>
      <c r="S139" s="190">
        <f>'400'!S139+'404'!S139+'411'!S139+'425'!S139+'426'!S139</f>
        <v>153.44999999999999</v>
      </c>
      <c r="T139" s="49">
        <f t="shared" si="144"/>
        <v>1.9108474441517065E-4</v>
      </c>
      <c r="U139" s="190">
        <f>'400'!U139+'404'!U139+'411'!U139+'425'!U139+'426'!U139</f>
        <v>153.44999999999999</v>
      </c>
      <c r="V139" s="49">
        <f t="shared" si="145"/>
        <v>2.4090162822034864E-4</v>
      </c>
      <c r="W139" s="190">
        <f>'400'!W139+'404'!W139+'411'!W139+'425'!W139+'426'!W139</f>
        <v>153.44999999999999</v>
      </c>
      <c r="X139" s="49">
        <f t="shared" si="146"/>
        <v>2.3677196308408068E-4</v>
      </c>
      <c r="Y139" s="190">
        <f>'400'!Y139+'404'!Y139+'411'!Y139+'425'!Y139+'426'!Y139</f>
        <v>153.44999999999999</v>
      </c>
      <c r="Z139" s="49">
        <f t="shared" si="147"/>
        <v>1.5673375696566514E-4</v>
      </c>
      <c r="AA139" s="320">
        <f>'400'!AA139+'404'!AA139+'411'!AA139+'425'!AA139+'426'!AA139</f>
        <v>1841.4000000000003</v>
      </c>
      <c r="AB139" s="108">
        <f t="shared" si="148"/>
        <v>2.0184831786529989E-4</v>
      </c>
      <c r="AC139" s="89">
        <f t="shared" si="149"/>
        <v>153.45000000000002</v>
      </c>
      <c r="AD139" s="92">
        <f t="shared" si="150"/>
        <v>2.0184831786529991E-4</v>
      </c>
      <c r="AE139" s="144"/>
      <c r="AF139" s="64">
        <f t="shared" si="134"/>
        <v>1841.4000000000003</v>
      </c>
      <c r="AG139" s="27" t="e">
        <f>'400'!#REF!+#REF!+#REF!+#REF!+'404'!#REF!+#REF!+#REF!+#REF!+#REF!+#REF!+#REF!</f>
        <v>#REF!</v>
      </c>
      <c r="AH139" s="27" t="e">
        <f t="shared" si="164"/>
        <v>#REF!</v>
      </c>
      <c r="AI139" s="27">
        <f>'400'!AA139+'404'!AA139+'411'!AA139</f>
        <v>1841.4000000000003</v>
      </c>
    </row>
    <row r="140" spans="1:35" customFormat="1">
      <c r="A140" s="2">
        <v>6505</v>
      </c>
      <c r="B140" s="2" t="s">
        <v>130</v>
      </c>
      <c r="C140" s="190">
        <f>'400'!C140+'404'!C140+'411'!C140+'425'!C140+'426'!C140</f>
        <v>0</v>
      </c>
      <c r="D140" s="49">
        <f t="shared" si="136"/>
        <v>0</v>
      </c>
      <c r="E140" s="190">
        <f>'400'!E140+'404'!E140+'411'!E140+'425'!E140+'426'!E140</f>
        <v>0</v>
      </c>
      <c r="F140" s="49">
        <f t="shared" si="137"/>
        <v>0</v>
      </c>
      <c r="G140" s="190">
        <f>'400'!G140+'404'!G140+'411'!G140+'425'!G140+'426'!G140</f>
        <v>0</v>
      </c>
      <c r="H140" s="49">
        <f t="shared" si="138"/>
        <v>0</v>
      </c>
      <c r="I140" s="190">
        <f>'400'!I140+'404'!I140+'411'!I140+'425'!I140+'426'!I140</f>
        <v>0</v>
      </c>
      <c r="J140" s="49">
        <f t="shared" si="139"/>
        <v>0</v>
      </c>
      <c r="K140" s="190">
        <f>'400'!K140+'404'!K140+'411'!K140+'425'!K140+'426'!K140</f>
        <v>0</v>
      </c>
      <c r="L140" s="49">
        <f t="shared" si="140"/>
        <v>0</v>
      </c>
      <c r="M140" s="190">
        <f>'400'!M140+'404'!M140+'411'!M140+'425'!M140+'426'!M140</f>
        <v>0</v>
      </c>
      <c r="N140" s="49">
        <f t="shared" si="141"/>
        <v>0</v>
      </c>
      <c r="O140" s="190">
        <f>'400'!O140+'404'!O140+'411'!O140+'425'!O140+'426'!O140</f>
        <v>0</v>
      </c>
      <c r="P140" s="49">
        <f t="shared" si="142"/>
        <v>0</v>
      </c>
      <c r="Q140" s="190">
        <f>'400'!Q140+'404'!Q140+'411'!Q140+'425'!Q140+'426'!Q140</f>
        <v>0</v>
      </c>
      <c r="R140" s="49">
        <f t="shared" si="143"/>
        <v>0</v>
      </c>
      <c r="S140" s="190">
        <f>'400'!S140+'404'!S140+'411'!S140+'425'!S140+'426'!S140</f>
        <v>0</v>
      </c>
      <c r="T140" s="49">
        <f t="shared" si="144"/>
        <v>0</v>
      </c>
      <c r="U140" s="190">
        <f>'400'!U140+'404'!U140+'411'!U140+'425'!U140+'426'!U140</f>
        <v>0</v>
      </c>
      <c r="V140" s="49">
        <f t="shared" si="145"/>
        <v>0</v>
      </c>
      <c r="W140" s="190">
        <f>'400'!W140+'404'!W140+'411'!W140+'425'!W140+'426'!W140</f>
        <v>0</v>
      </c>
      <c r="X140" s="49">
        <f t="shared" si="146"/>
        <v>0</v>
      </c>
      <c r="Y140" s="190">
        <f>'400'!Y140+'404'!Y140+'411'!Y140+'425'!Y140+'426'!Y140</f>
        <v>0</v>
      </c>
      <c r="Z140" s="49">
        <f t="shared" si="147"/>
        <v>0</v>
      </c>
      <c r="AA140" s="320">
        <f>'400'!AA140+'404'!AA140+'411'!AA140+'425'!AA140+'426'!AA140</f>
        <v>0</v>
      </c>
      <c r="AB140" s="108">
        <f t="shared" si="148"/>
        <v>0</v>
      </c>
      <c r="AC140" s="89">
        <f t="shared" si="149"/>
        <v>0</v>
      </c>
      <c r="AD140" s="92">
        <f t="shared" si="150"/>
        <v>0</v>
      </c>
      <c r="AE140" s="144"/>
      <c r="AF140" s="64">
        <f t="shared" si="134"/>
        <v>0</v>
      </c>
      <c r="AG140" s="27" t="e">
        <f>'400'!#REF!+#REF!+#REF!+#REF!+'404'!#REF!+#REF!+#REF!+#REF!+#REF!+#REF!+#REF!</f>
        <v>#REF!</v>
      </c>
      <c r="AH140" s="27" t="e">
        <f t="shared" si="164"/>
        <v>#REF!</v>
      </c>
      <c r="AI140" s="27">
        <f>'400'!AA140+'404'!AA140+'411'!AA140</f>
        <v>0</v>
      </c>
    </row>
    <row r="141" spans="1:35" s="1" customFormat="1">
      <c r="A141" s="2">
        <v>6506</v>
      </c>
      <c r="B141" s="2" t="s">
        <v>202</v>
      </c>
      <c r="C141" s="190">
        <f>'400'!C141+'404'!C141+'411'!C141+'425'!C141+'426'!C141</f>
        <v>0</v>
      </c>
      <c r="D141" s="49">
        <f t="shared" si="136"/>
        <v>0</v>
      </c>
      <c r="E141" s="190">
        <f>'400'!E141+'404'!E141+'411'!E141+'425'!E141+'426'!E141</f>
        <v>0</v>
      </c>
      <c r="F141" s="49">
        <f t="shared" si="137"/>
        <v>0</v>
      </c>
      <c r="G141" s="190">
        <f>'400'!G141+'404'!G141+'411'!G141+'425'!G141+'426'!G141</f>
        <v>0</v>
      </c>
      <c r="H141" s="49">
        <f t="shared" si="138"/>
        <v>0</v>
      </c>
      <c r="I141" s="190">
        <f>'400'!I141+'404'!I141+'411'!I141+'425'!I141+'426'!I141</f>
        <v>0</v>
      </c>
      <c r="J141" s="49">
        <f t="shared" si="139"/>
        <v>0</v>
      </c>
      <c r="K141" s="190">
        <f>'400'!K141+'404'!K141+'411'!K141+'425'!K141+'426'!K141</f>
        <v>0</v>
      </c>
      <c r="L141" s="49">
        <f t="shared" si="140"/>
        <v>0</v>
      </c>
      <c r="M141" s="190">
        <f>'400'!M141+'404'!M141+'411'!M141+'425'!M141+'426'!M141</f>
        <v>0</v>
      </c>
      <c r="N141" s="49">
        <f t="shared" si="141"/>
        <v>0</v>
      </c>
      <c r="O141" s="190">
        <f>'400'!O141+'404'!O141+'411'!O141+'425'!O141+'426'!O141</f>
        <v>0</v>
      </c>
      <c r="P141" s="49">
        <f t="shared" si="142"/>
        <v>0</v>
      </c>
      <c r="Q141" s="190">
        <f>'400'!Q141+'404'!Q141+'411'!Q141+'425'!Q141+'426'!Q141</f>
        <v>0</v>
      </c>
      <c r="R141" s="49">
        <f t="shared" si="143"/>
        <v>0</v>
      </c>
      <c r="S141" s="190">
        <f>'400'!S141+'404'!S141+'411'!S141+'425'!S141+'426'!S141</f>
        <v>0</v>
      </c>
      <c r="T141" s="49">
        <f t="shared" si="144"/>
        <v>0</v>
      </c>
      <c r="U141" s="190">
        <f>'400'!U141+'404'!U141+'411'!U141+'425'!U141+'426'!U141</f>
        <v>0</v>
      </c>
      <c r="V141" s="49">
        <f t="shared" si="145"/>
        <v>0</v>
      </c>
      <c r="W141" s="190">
        <f>'400'!W141+'404'!W141+'411'!W141+'425'!W141+'426'!W141</f>
        <v>0</v>
      </c>
      <c r="X141" s="49">
        <f t="shared" si="146"/>
        <v>0</v>
      </c>
      <c r="Y141" s="190">
        <f>'400'!Y141+'404'!Y141+'411'!Y141+'425'!Y141+'426'!Y141</f>
        <v>0</v>
      </c>
      <c r="Z141" s="49">
        <f t="shared" si="147"/>
        <v>0</v>
      </c>
      <c r="AA141" s="320">
        <f>'400'!AA141+'404'!AA141+'411'!AA141+'425'!AA141+'426'!AA141</f>
        <v>0</v>
      </c>
      <c r="AB141" s="108">
        <f t="shared" si="148"/>
        <v>0</v>
      </c>
      <c r="AC141" s="89">
        <f t="shared" si="149"/>
        <v>0</v>
      </c>
      <c r="AD141" s="92">
        <f t="shared" si="150"/>
        <v>0</v>
      </c>
      <c r="AE141" s="144"/>
      <c r="AF141" s="64">
        <f t="shared" si="134"/>
        <v>0</v>
      </c>
      <c r="AG141" s="27"/>
      <c r="AH141" s="27"/>
      <c r="AI141" s="27">
        <f>'400'!AA141+'404'!AA141+'411'!AA141</f>
        <v>0</v>
      </c>
    </row>
    <row r="142" spans="1:35" customFormat="1">
      <c r="A142" s="2">
        <v>6604</v>
      </c>
      <c r="B142" s="2" t="s">
        <v>136</v>
      </c>
      <c r="C142" s="190">
        <f>'400'!C142+'404'!C142+'411'!C142+'425'!C142+'426'!C142</f>
        <v>0</v>
      </c>
      <c r="D142" s="49">
        <f t="shared" si="136"/>
        <v>0</v>
      </c>
      <c r="E142" s="190">
        <f>'400'!E142+'404'!E142+'411'!E142+'425'!E142+'426'!E142</f>
        <v>0</v>
      </c>
      <c r="F142" s="49">
        <f t="shared" si="137"/>
        <v>0</v>
      </c>
      <c r="G142" s="190">
        <f>'400'!G142+'404'!G142+'411'!G142+'425'!G142+'426'!G142</f>
        <v>0</v>
      </c>
      <c r="H142" s="49">
        <f t="shared" si="138"/>
        <v>0</v>
      </c>
      <c r="I142" s="190">
        <f>'400'!I142+'404'!I142+'411'!I142+'425'!I142+'426'!I142</f>
        <v>0</v>
      </c>
      <c r="J142" s="49">
        <f t="shared" si="139"/>
        <v>0</v>
      </c>
      <c r="K142" s="190">
        <f>'400'!K142+'404'!K142+'411'!K142+'425'!K142+'426'!K142</f>
        <v>0</v>
      </c>
      <c r="L142" s="49">
        <f t="shared" si="140"/>
        <v>0</v>
      </c>
      <c r="M142" s="190">
        <f>'400'!M142+'404'!M142+'411'!M142+'425'!M142+'426'!M142</f>
        <v>0</v>
      </c>
      <c r="N142" s="49">
        <f t="shared" si="141"/>
        <v>0</v>
      </c>
      <c r="O142" s="190">
        <f>'400'!O142+'404'!O142+'411'!O142+'425'!O142+'426'!O142</f>
        <v>0</v>
      </c>
      <c r="P142" s="49">
        <f t="shared" si="142"/>
        <v>0</v>
      </c>
      <c r="Q142" s="190">
        <f>'400'!Q142+'404'!Q142+'411'!Q142+'425'!Q142+'426'!Q142</f>
        <v>0</v>
      </c>
      <c r="R142" s="49">
        <f t="shared" si="143"/>
        <v>0</v>
      </c>
      <c r="S142" s="190">
        <f>'400'!S142+'404'!S142+'411'!S142+'425'!S142+'426'!S142</f>
        <v>0</v>
      </c>
      <c r="T142" s="49">
        <f t="shared" si="144"/>
        <v>0</v>
      </c>
      <c r="U142" s="190">
        <f>'400'!U142+'404'!U142+'411'!U142+'425'!U142+'426'!U142</f>
        <v>0</v>
      </c>
      <c r="V142" s="49">
        <f t="shared" si="145"/>
        <v>0</v>
      </c>
      <c r="W142" s="190">
        <f>'400'!W142+'404'!W142+'411'!W142+'425'!W142+'426'!W142</f>
        <v>0</v>
      </c>
      <c r="X142" s="49">
        <f t="shared" si="146"/>
        <v>0</v>
      </c>
      <c r="Y142" s="190">
        <f>'400'!Y142+'404'!Y142+'411'!Y142+'425'!Y142+'426'!Y142</f>
        <v>0</v>
      </c>
      <c r="Z142" s="49">
        <f t="shared" si="147"/>
        <v>0</v>
      </c>
      <c r="AA142" s="320">
        <f>'400'!AA142+'404'!AA142+'411'!AA142+'425'!AA142+'426'!AA142</f>
        <v>0</v>
      </c>
      <c r="AB142" s="108">
        <f t="shared" si="148"/>
        <v>0</v>
      </c>
      <c r="AC142" s="89">
        <f t="shared" si="149"/>
        <v>0</v>
      </c>
      <c r="AD142" s="92">
        <f t="shared" si="150"/>
        <v>0</v>
      </c>
      <c r="AE142" s="144"/>
      <c r="AF142" s="64">
        <f t="shared" si="134"/>
        <v>0</v>
      </c>
      <c r="AG142" s="27" t="e">
        <f>'400'!#REF!+#REF!+#REF!+#REF!+'404'!#REF!+#REF!+#REF!+#REF!+#REF!+#REF!+#REF!</f>
        <v>#REF!</v>
      </c>
      <c r="AH142" s="27" t="e">
        <f t="shared" ref="AH142:AH149" si="165">AA142-AG142</f>
        <v>#REF!</v>
      </c>
      <c r="AI142" s="27">
        <f>'400'!AA142+'404'!AA142+'411'!AA142</f>
        <v>0</v>
      </c>
    </row>
    <row r="143" spans="1:35" customFormat="1">
      <c r="A143" s="2"/>
      <c r="B143" s="2"/>
      <c r="C143" s="190">
        <f>'400'!C143+'404'!C143+'411'!C143+'425'!C143+'426'!C143</f>
        <v>0</v>
      </c>
      <c r="D143" s="49">
        <f t="shared" ref="D143:D152" si="166">C143/C$12</f>
        <v>0</v>
      </c>
      <c r="E143" s="190">
        <f>'400'!E143+'404'!E143+'411'!E143+'425'!E143+'426'!E143</f>
        <v>0</v>
      </c>
      <c r="F143" s="49">
        <f t="shared" ref="F143:F152" si="167">E143/E$12</f>
        <v>0</v>
      </c>
      <c r="G143" s="190">
        <f>'400'!G143+'404'!G143+'411'!G143+'425'!G143+'426'!G143</f>
        <v>0</v>
      </c>
      <c r="H143" s="49">
        <f t="shared" ref="H143:H152" si="168">G143/G$12</f>
        <v>0</v>
      </c>
      <c r="I143" s="190">
        <f>'400'!I143+'404'!I143+'411'!I143+'425'!I143+'426'!I143</f>
        <v>0</v>
      </c>
      <c r="J143" s="49">
        <f t="shared" ref="J143:J152" si="169">I143/I$12</f>
        <v>0</v>
      </c>
      <c r="K143" s="190">
        <f>'400'!K143+'404'!K143+'411'!K143+'425'!K143+'426'!K143</f>
        <v>0</v>
      </c>
      <c r="L143" s="49">
        <f t="shared" ref="L143:L152" si="170">K143/K$12</f>
        <v>0</v>
      </c>
      <c r="M143" s="190">
        <f>'400'!M143+'404'!M143+'411'!M143+'425'!M143+'426'!M143</f>
        <v>0</v>
      </c>
      <c r="N143" s="49">
        <f t="shared" ref="N143:N152" si="171">M143/M$12</f>
        <v>0</v>
      </c>
      <c r="O143" s="190">
        <f>'400'!O143+'404'!O143+'411'!O143+'425'!O143+'426'!O143</f>
        <v>0</v>
      </c>
      <c r="P143" s="49">
        <f t="shared" ref="P143:P152" si="172">O143/O$12</f>
        <v>0</v>
      </c>
      <c r="Q143" s="190">
        <f>'400'!Q143+'404'!Q143+'411'!Q143+'425'!Q143+'426'!Q143</f>
        <v>0</v>
      </c>
      <c r="R143" s="49">
        <f t="shared" ref="R143:R152" si="173">Q143/Q$12</f>
        <v>0</v>
      </c>
      <c r="S143" s="190">
        <f>'400'!S143+'404'!S143+'411'!S143+'425'!S143+'426'!S143</f>
        <v>0</v>
      </c>
      <c r="T143" s="49">
        <f t="shared" ref="T143:T152" si="174">S143/S$12</f>
        <v>0</v>
      </c>
      <c r="U143" s="190">
        <f>'400'!U143+'404'!U143+'411'!U143+'425'!U143+'426'!U143</f>
        <v>0</v>
      </c>
      <c r="V143" s="49">
        <f t="shared" ref="V143:V152" si="175">U143/U$12</f>
        <v>0</v>
      </c>
      <c r="W143" s="190">
        <f>'400'!W143+'404'!W143+'411'!W143+'425'!W143+'426'!W143</f>
        <v>0</v>
      </c>
      <c r="X143" s="49">
        <f t="shared" ref="X143:X152" si="176">W143/W$12</f>
        <v>0</v>
      </c>
      <c r="Y143" s="190">
        <f>'400'!Y143+'404'!Y143+'411'!Y143+'425'!Y143+'426'!Y143</f>
        <v>0</v>
      </c>
      <c r="Z143" s="49">
        <f t="shared" ref="Z143:Z152" si="177">Y143/Y$12</f>
        <v>0</v>
      </c>
      <c r="AA143" s="320">
        <f>'400'!AA143+'404'!AA143+'411'!AA143+'425'!AA143+'426'!AA143</f>
        <v>0</v>
      </c>
      <c r="AB143" s="108">
        <f t="shared" ref="AB143:AB152" si="178">AA143/AA$12</f>
        <v>0</v>
      </c>
      <c r="AC143" s="89">
        <f t="shared" ref="AC143:AC152" si="179">AA143/12</f>
        <v>0</v>
      </c>
      <c r="AD143" s="92">
        <f t="shared" ref="AD143:AD152" si="180">AC143/AC$12</f>
        <v>0</v>
      </c>
      <c r="AE143" s="144"/>
      <c r="AF143" s="64">
        <f t="shared" si="134"/>
        <v>0</v>
      </c>
      <c r="AG143" s="27" t="e">
        <f>'400'!#REF!+#REF!+#REF!+#REF!+'404'!#REF!+#REF!+#REF!+#REF!+#REF!+#REF!+#REF!</f>
        <v>#REF!</v>
      </c>
      <c r="AH143" s="27" t="e">
        <f t="shared" si="165"/>
        <v>#REF!</v>
      </c>
      <c r="AI143" s="27">
        <f>'400'!AA143+'404'!AA143+'411'!AA143</f>
        <v>0</v>
      </c>
    </row>
    <row r="144" spans="1:35" customFormat="1">
      <c r="A144" s="243">
        <v>6798</v>
      </c>
      <c r="B144" s="243" t="s">
        <v>132</v>
      </c>
      <c r="C144" s="244">
        <f>'400'!C144+'404'!C144+'411'!C144+'425'!C144+'426'!C144</f>
        <v>53687.66</v>
      </c>
      <c r="D144" s="79">
        <f t="shared" si="166"/>
        <v>7.8246952841367026E-2</v>
      </c>
      <c r="E144" s="244">
        <f>'400'!E144+'404'!E144+'411'!E144+'425'!E144+'426'!E144</f>
        <v>53650.66</v>
      </c>
      <c r="F144" s="79">
        <f t="shared" si="167"/>
        <v>0.10050504991067828</v>
      </c>
      <c r="G144" s="244">
        <f>'400'!G144+'404'!G144+'411'!G144+'425'!G144+'426'!G144</f>
        <v>53724.67</v>
      </c>
      <c r="H144" s="79">
        <f t="shared" si="168"/>
        <v>6.0673313983571162E-2</v>
      </c>
      <c r="I144" s="244">
        <f>'400'!I144+'404'!I144+'411'!I144+'425'!I144+'426'!I144</f>
        <v>53687.68</v>
      </c>
      <c r="J144" s="79">
        <f t="shared" si="169"/>
        <v>6.8665836338675693E-2</v>
      </c>
      <c r="K144" s="244">
        <f>'400'!K144+'404'!K144+'411'!K144+'425'!K144+'426'!K144</f>
        <v>53687.67</v>
      </c>
      <c r="L144" s="79">
        <f t="shared" si="170"/>
        <v>7.507728306224816E-2</v>
      </c>
      <c r="M144" s="244">
        <f>'400'!M144+'404'!M144+'411'!M144+'425'!M144+'426'!M144</f>
        <v>53687.64</v>
      </c>
      <c r="N144" s="79">
        <f t="shared" si="171"/>
        <v>5.2946385165180659E-2</v>
      </c>
      <c r="O144" s="244">
        <f>'400'!O144+'404'!O144+'411'!O144+'425'!O144+'426'!O144</f>
        <v>53687.67</v>
      </c>
      <c r="P144" s="79">
        <f t="shared" si="172"/>
        <v>8.3629023664682584E-2</v>
      </c>
      <c r="Q144" s="244">
        <f>'400'!Q144+'404'!Q144+'411'!Q144+'425'!Q144+'426'!Q144</f>
        <v>52824.100000000006</v>
      </c>
      <c r="R144" s="79">
        <f t="shared" si="173"/>
        <v>6.6265005989549083E-2</v>
      </c>
      <c r="S144" s="244">
        <f>'400'!S144+'404'!S144+'411'!S144+'425'!S144+'426'!S144</f>
        <v>52824.100000000006</v>
      </c>
      <c r="T144" s="79">
        <f t="shared" si="174"/>
        <v>6.5779600178960035E-2</v>
      </c>
      <c r="U144" s="244">
        <f>'400'!U144+'404'!U144+'411'!U144+'425'!U144+'426'!U144</f>
        <v>52815.37</v>
      </c>
      <c r="V144" s="79">
        <f t="shared" si="175"/>
        <v>8.2915012238906211E-2</v>
      </c>
      <c r="W144" s="244">
        <f>'400'!W144+'404'!W144+'411'!W144+'425'!W144+'426'!W144</f>
        <v>52815.37</v>
      </c>
      <c r="X144" s="79">
        <f t="shared" si="176"/>
        <v>8.1493638552701628E-2</v>
      </c>
      <c r="Y144" s="244">
        <f>'400'!Y144+'404'!Y144+'411'!Y144+'425'!Y144+'426'!Y144</f>
        <v>52815.37</v>
      </c>
      <c r="Z144" s="79">
        <f t="shared" si="177"/>
        <v>5.394559378059096E-2</v>
      </c>
      <c r="AA144" s="322">
        <f>'400'!AA144+'404'!AA144+'411'!AA144+'425'!AA144+'426'!AA144</f>
        <v>639907.96</v>
      </c>
      <c r="AB144" s="119">
        <f t="shared" si="178"/>
        <v>7.0144642834047782E-2</v>
      </c>
      <c r="AC144" s="98">
        <f t="shared" si="179"/>
        <v>53325.66333333333</v>
      </c>
      <c r="AD144" s="122">
        <f t="shared" si="180"/>
        <v>7.0144642834047796E-2</v>
      </c>
      <c r="AE144" s="144"/>
      <c r="AF144" s="64">
        <f t="shared" si="134"/>
        <v>639907.96</v>
      </c>
      <c r="AG144" s="27" t="e">
        <f>'400'!#REF!+#REF!+#REF!+#REF!+'404'!#REF!+#REF!+#REF!+#REF!+#REF!+#REF!+#REF!</f>
        <v>#REF!</v>
      </c>
      <c r="AH144" s="27" t="e">
        <f t="shared" si="165"/>
        <v>#REF!</v>
      </c>
      <c r="AI144" s="27">
        <f>'400'!AA144+'404'!AA144+'411'!AA144</f>
        <v>316517.31999999995</v>
      </c>
    </row>
    <row r="145" spans="1:41" customFormat="1">
      <c r="A145" s="243">
        <v>6799</v>
      </c>
      <c r="B145" s="243" t="s">
        <v>134</v>
      </c>
      <c r="C145" s="244">
        <f>'400'!C145+'404'!C145+'411'!C145+'425'!C145+'426'!C145</f>
        <v>298353.30668861873</v>
      </c>
      <c r="D145" s="79">
        <f t="shared" si="166"/>
        <v>0.43483431981446508</v>
      </c>
      <c r="E145" s="244">
        <f>'400'!E145+'404'!E145+'411'!E145+'425'!E145+'426'!E145</f>
        <v>305894.18112448062</v>
      </c>
      <c r="F145" s="79">
        <f t="shared" si="167"/>
        <v>0.57303880215643177</v>
      </c>
      <c r="G145" s="244">
        <f>'400'!G145+'404'!G145+'411'!G145+'425'!G145+'426'!G145</f>
        <v>306327.04695472104</v>
      </c>
      <c r="H145" s="79">
        <f t="shared" si="168"/>
        <v>0.34594678946457813</v>
      </c>
      <c r="I145" s="244">
        <f>'400'!I145+'404'!I145+'411'!I145+'425'!I145+'426'!I145</f>
        <v>318319.61256276217</v>
      </c>
      <c r="J145" s="79">
        <f t="shared" si="169"/>
        <v>0.4071265962624066</v>
      </c>
      <c r="K145" s="244">
        <f>'400'!K145+'404'!K145+'411'!K145+'425'!K145+'426'!K145</f>
        <v>313083.42215380725</v>
      </c>
      <c r="L145" s="79">
        <f t="shared" si="170"/>
        <v>0.43781845453786178</v>
      </c>
      <c r="M145" s="244">
        <f>'400'!M145+'404'!M145+'411'!M145+'425'!M145+'426'!M145</f>
        <v>317354.09263587737</v>
      </c>
      <c r="N145" s="79">
        <f t="shared" si="171"/>
        <v>0.31297244621752024</v>
      </c>
      <c r="O145" s="244">
        <f>'400'!O145+'404'!O145+'411'!O145+'425'!O145+'426'!O145</f>
        <v>323741.47796576121</v>
      </c>
      <c r="P145" s="79">
        <f t="shared" si="172"/>
        <v>0.50429053304116123</v>
      </c>
      <c r="Q145" s="244">
        <f>'400'!Q145+'404'!Q145+'411'!Q145+'425'!Q145+'426'!Q145</f>
        <v>345140.77718312573</v>
      </c>
      <c r="R145" s="79">
        <f t="shared" si="173"/>
        <v>0.43296063098618714</v>
      </c>
      <c r="S145" s="244">
        <f>'400'!S145+'404'!S145+'411'!S145+'425'!S145+'426'!S145</f>
        <v>333848.45490973326</v>
      </c>
      <c r="T145" s="79">
        <f t="shared" si="174"/>
        <v>0.41572725109042691</v>
      </c>
      <c r="U145" s="244">
        <f>'400'!U145+'404'!U145+'411'!U145+'425'!U145+'426'!U145</f>
        <v>328679.28045535157</v>
      </c>
      <c r="V145" s="79">
        <f t="shared" si="175"/>
        <v>0.51599461599209395</v>
      </c>
      <c r="W145" s="244">
        <f>'400'!W145+'404'!W145+'411'!W145+'425'!W145+'426'!W145</f>
        <v>323449.85831937561</v>
      </c>
      <c r="X145" s="79">
        <f t="shared" si="176"/>
        <v>0.49908020797358316</v>
      </c>
      <c r="Y145" s="244">
        <f>'400'!Y145+'404'!Y145+'411'!Y145+'425'!Y145+'426'!Y145</f>
        <v>327240.95518917823</v>
      </c>
      <c r="Z145" s="79">
        <f t="shared" si="177"/>
        <v>0.33424375588030486</v>
      </c>
      <c r="AA145" s="322">
        <f>'400'!AA145+'404'!AA145+'411'!AA145+'425'!AA145+'426'!AA145</f>
        <v>3841432.4661427927</v>
      </c>
      <c r="AB145" s="119">
        <f t="shared" si="178"/>
        <v>0.42108541407845834</v>
      </c>
      <c r="AC145" s="326">
        <f t="shared" si="179"/>
        <v>320119.37217856606</v>
      </c>
      <c r="AD145" s="122">
        <f t="shared" si="180"/>
        <v>0.4210854140784584</v>
      </c>
      <c r="AE145" s="144"/>
      <c r="AF145" s="64">
        <f t="shared" si="134"/>
        <v>3841432.4661427927</v>
      </c>
      <c r="AG145" s="27" t="e">
        <f>'400'!#REF!+#REF!+#REF!+#REF!+'404'!#REF!+#REF!+#REF!+#REF!+#REF!+#REF!+#REF!</f>
        <v>#REF!</v>
      </c>
      <c r="AH145" s="27" t="e">
        <f t="shared" si="165"/>
        <v>#REF!</v>
      </c>
      <c r="AI145" s="27">
        <f>'400'!AA145+'404'!AA145+'411'!AA145</f>
        <v>2366364.3522335985</v>
      </c>
    </row>
    <row r="146" spans="1:41" customFormat="1" ht="15.75" thickBot="1">
      <c r="A146" s="11">
        <v>6999</v>
      </c>
      <c r="B146" s="11" t="s">
        <v>133</v>
      </c>
      <c r="C146" s="245">
        <f>'400'!C146+'404'!C146+'411'!C146+'425'!C146+'426'!C146</f>
        <v>32716.261211381254</v>
      </c>
      <c r="D146" s="80">
        <f t="shared" si="166"/>
        <v>4.7682237373593749E-2</v>
      </c>
      <c r="E146" s="245">
        <f>'400'!E146+'404'!E146+'411'!E146+'425'!E146+'426'!E146</f>
        <v>-46528.918679841532</v>
      </c>
      <c r="F146" s="80">
        <f t="shared" si="167"/>
        <v>-8.7163723506986937E-2</v>
      </c>
      <c r="G146" s="245">
        <f>'400'!G146+'404'!G146+'411'!G146+'425'!G146+'426'!G146</f>
        <v>89107.1134397485</v>
      </c>
      <c r="H146" s="80">
        <f t="shared" si="168"/>
        <v>0.10063205361521169</v>
      </c>
      <c r="I146" s="245">
        <f>'400'!I146+'404'!I146+'411'!I146+'425'!I146+'426'!I146</f>
        <v>42882.475968350831</v>
      </c>
      <c r="J146" s="80">
        <f t="shared" si="169"/>
        <v>5.4846122548785341E-2</v>
      </c>
      <c r="K146" s="245">
        <f>'400'!K146+'404'!K146+'411'!K146+'425'!K146+'426'!K146</f>
        <v>68518.722355910577</v>
      </c>
      <c r="L146" s="80">
        <f t="shared" si="170"/>
        <v>9.5817149698958631E-2</v>
      </c>
      <c r="M146" s="245">
        <f>'400'!M146+'404'!M146+'411'!M146+'425'!M146+'426'!M146</f>
        <v>120920.3458766859</v>
      </c>
      <c r="N146" s="80">
        <f t="shared" si="171"/>
        <v>0.11925082210903434</v>
      </c>
      <c r="O146" s="245">
        <f>'400'!O146+'404'!O146+'411'!O146+'425'!O146+'426'!O146</f>
        <v>-28966.605797986635</v>
      </c>
      <c r="P146" s="80">
        <f t="shared" si="172"/>
        <v>-4.5121141628335817E-2</v>
      </c>
      <c r="Q146" s="245">
        <f>'400'!Q146+'404'!Q146+'411'!Q146+'425'!Q146+'426'!Q146</f>
        <v>4191.4246007067522</v>
      </c>
      <c r="R146" s="80">
        <f t="shared" si="173"/>
        <v>5.2579178115779775E-3</v>
      </c>
      <c r="S146" s="245">
        <f>'400'!S146+'404'!S146+'411'!S146+'425'!S146+'426'!S146</f>
        <v>44703.291104786622</v>
      </c>
      <c r="T146" s="80">
        <f t="shared" si="174"/>
        <v>5.5667102999512046E-2</v>
      </c>
      <c r="U146" s="245">
        <f>'400'!U146+'404'!U146+'411'!U146+'425'!U146+'426'!U146</f>
        <v>-2460.3475979193609</v>
      </c>
      <c r="V146" s="80">
        <f t="shared" si="175"/>
        <v>-3.8625072813737228E-3</v>
      </c>
      <c r="W146" s="245">
        <f>'400'!W146+'404'!W146+'411'!W146+'425'!W146+'426'!W146</f>
        <v>23691.459157480193</v>
      </c>
      <c r="X146" s="80">
        <f t="shared" si="176"/>
        <v>3.655570735120825E-2</v>
      </c>
      <c r="Y146" s="245">
        <f>'400'!Y146+'404'!Y146+'411'!Y146+'425'!Y146+'426'!Y146</f>
        <v>145692.87247526442</v>
      </c>
      <c r="Z146" s="80">
        <f t="shared" si="177"/>
        <v>0.14881063060389532</v>
      </c>
      <c r="AA146" s="125">
        <f>'400'!AA146+'404'!AA146+'411'!AA146+'425'!AA146+'426'!AA146</f>
        <v>494468.09411456867</v>
      </c>
      <c r="AB146" s="80">
        <f t="shared" si="178"/>
        <v>5.4201994697016649E-2</v>
      </c>
      <c r="AC146" s="125">
        <f t="shared" si="179"/>
        <v>41205.674509547389</v>
      </c>
      <c r="AD146" s="80">
        <f t="shared" si="180"/>
        <v>5.4201994697016663E-2</v>
      </c>
      <c r="AE146" s="144"/>
      <c r="AF146" s="64">
        <f t="shared" si="134"/>
        <v>494468.09411456756</v>
      </c>
      <c r="AG146" s="27" t="e">
        <f>'400'!#REF!+#REF!+#REF!+#REF!+'404'!#REF!+#REF!+#REF!+#REF!+#REF!+#REF!+#REF!</f>
        <v>#REF!</v>
      </c>
      <c r="AH146" s="27" t="e">
        <f t="shared" si="165"/>
        <v>#REF!</v>
      </c>
      <c r="AI146" s="27">
        <f>'400'!AA146+'404'!AA146+'411'!AA146</f>
        <v>29636.42174043713</v>
      </c>
    </row>
    <row r="147" spans="1:41" customFormat="1" ht="15.75" thickTop="1">
      <c r="A147" s="1"/>
      <c r="B147" s="1"/>
      <c r="C147" s="189">
        <f>'400'!C147+'404'!C147+'411'!C147+'425'!C147+'426'!C147</f>
        <v>0</v>
      </c>
      <c r="D147" s="49">
        <f t="shared" si="166"/>
        <v>0</v>
      </c>
      <c r="E147" s="189">
        <f>'400'!E147+'404'!E147+'411'!E147+'425'!E147+'426'!E147</f>
        <v>0</v>
      </c>
      <c r="F147" s="49">
        <f t="shared" si="167"/>
        <v>0</v>
      </c>
      <c r="G147" s="189">
        <f>'400'!G147+'404'!G147+'411'!G147+'425'!G147+'426'!G147</f>
        <v>0</v>
      </c>
      <c r="H147" s="49">
        <f t="shared" si="168"/>
        <v>0</v>
      </c>
      <c r="I147" s="189">
        <f>'400'!I147+'404'!I147+'411'!I147+'425'!I147+'426'!I147</f>
        <v>0</v>
      </c>
      <c r="J147" s="49">
        <f t="shared" si="169"/>
        <v>0</v>
      </c>
      <c r="K147" s="189">
        <f>'400'!K147+'404'!K147+'411'!K147+'425'!K147+'426'!K147</f>
        <v>0</v>
      </c>
      <c r="L147" s="49">
        <f t="shared" si="170"/>
        <v>0</v>
      </c>
      <c r="M147" s="189">
        <f>'400'!M147+'404'!M147+'411'!M147+'425'!M147+'426'!M147</f>
        <v>0</v>
      </c>
      <c r="N147" s="49">
        <f t="shared" si="171"/>
        <v>0</v>
      </c>
      <c r="O147" s="189">
        <f>'400'!O147+'404'!O147+'411'!O147+'425'!O147+'426'!O147</f>
        <v>0</v>
      </c>
      <c r="P147" s="49">
        <f t="shared" si="172"/>
        <v>0</v>
      </c>
      <c r="Q147" s="189">
        <f>'400'!Q147+'404'!Q147+'411'!Q147+'425'!Q147+'426'!Q147</f>
        <v>0</v>
      </c>
      <c r="R147" s="49">
        <f t="shared" si="173"/>
        <v>0</v>
      </c>
      <c r="S147" s="189">
        <f>'400'!S147+'404'!S147+'411'!S147+'425'!S147+'426'!S147</f>
        <v>0</v>
      </c>
      <c r="T147" s="49">
        <f t="shared" si="174"/>
        <v>0</v>
      </c>
      <c r="U147" s="189">
        <f>'400'!U147+'404'!U147+'411'!U147+'425'!U147+'426'!U147</f>
        <v>0</v>
      </c>
      <c r="V147" s="49">
        <f t="shared" si="175"/>
        <v>0</v>
      </c>
      <c r="W147" s="189">
        <f>'400'!W147+'404'!W147+'411'!W147+'425'!W147+'426'!W147</f>
        <v>0</v>
      </c>
      <c r="X147" s="49">
        <f t="shared" si="176"/>
        <v>0</v>
      </c>
      <c r="Y147" s="189">
        <f>'400'!Y147+'404'!Y147+'411'!Y147+'425'!Y147+'426'!Y147</f>
        <v>0</v>
      </c>
      <c r="Z147" s="49">
        <f t="shared" si="177"/>
        <v>0</v>
      </c>
      <c r="AA147" s="324">
        <f>'400'!AA147+'404'!AA147+'411'!AA147+'425'!AA147+'426'!AA147</f>
        <v>0</v>
      </c>
      <c r="AB147" s="118">
        <f t="shared" si="178"/>
        <v>0</v>
      </c>
      <c r="AC147" s="327">
        <f t="shared" si="179"/>
        <v>0</v>
      </c>
      <c r="AD147" s="121">
        <f t="shared" si="180"/>
        <v>0</v>
      </c>
      <c r="AE147" s="138"/>
      <c r="AF147" s="64">
        <f t="shared" si="134"/>
        <v>0</v>
      </c>
      <c r="AG147" s="27" t="e">
        <f>'400'!#REF!+#REF!+#REF!+#REF!+'404'!#REF!+#REF!+#REF!+#REF!+#REF!+#REF!+#REF!</f>
        <v>#REF!</v>
      </c>
      <c r="AH147" s="27" t="e">
        <f t="shared" si="165"/>
        <v>#REF!</v>
      </c>
      <c r="AI147" s="27">
        <f>'400'!AA147+'404'!AA147+'411'!AA147</f>
        <v>0</v>
      </c>
    </row>
    <row r="148" spans="1:41" customFormat="1" ht="15.75" thickBot="1">
      <c r="A148" s="140"/>
      <c r="B148" s="11" t="s">
        <v>190</v>
      </c>
      <c r="C148" s="246">
        <f>'400'!C148+'404'!C148+'411'!C148+'425'!C148+'426'!C148</f>
        <v>0</v>
      </c>
      <c r="D148" s="80">
        <f t="shared" si="166"/>
        <v>0</v>
      </c>
      <c r="E148" s="246">
        <f>'400'!E148+'404'!E148+'411'!E148+'425'!E148+'426'!E148</f>
        <v>0</v>
      </c>
      <c r="F148" s="80">
        <f t="shared" si="167"/>
        <v>0</v>
      </c>
      <c r="G148" s="246">
        <f>'400'!G148+'404'!G148+'411'!G148+'425'!G148+'426'!G148</f>
        <v>0</v>
      </c>
      <c r="H148" s="80">
        <f t="shared" si="168"/>
        <v>0</v>
      </c>
      <c r="I148" s="246">
        <f>'400'!I148+'404'!I148+'411'!I148+'425'!I148+'426'!I148</f>
        <v>0</v>
      </c>
      <c r="J148" s="80">
        <f t="shared" si="169"/>
        <v>0</v>
      </c>
      <c r="K148" s="246">
        <f>'400'!K148+'404'!K148+'411'!K148+'425'!K148+'426'!K148</f>
        <v>0</v>
      </c>
      <c r="L148" s="80">
        <f t="shared" si="170"/>
        <v>0</v>
      </c>
      <c r="M148" s="246">
        <f>'400'!M148+'404'!M148+'411'!M148+'425'!M148+'426'!M148</f>
        <v>0</v>
      </c>
      <c r="N148" s="80">
        <f t="shared" si="171"/>
        <v>0</v>
      </c>
      <c r="O148" s="246">
        <f>'400'!O148+'404'!O148+'411'!O148+'425'!O148+'426'!O148</f>
        <v>0</v>
      </c>
      <c r="P148" s="80">
        <f t="shared" si="172"/>
        <v>0</v>
      </c>
      <c r="Q148" s="246">
        <f>'400'!Q148+'404'!Q148+'411'!Q148+'425'!Q148+'426'!Q148</f>
        <v>0</v>
      </c>
      <c r="R148" s="80">
        <f t="shared" si="173"/>
        <v>0</v>
      </c>
      <c r="S148" s="246">
        <f>'400'!S148+'404'!S148+'411'!S148+'425'!S148+'426'!S148</f>
        <v>0</v>
      </c>
      <c r="T148" s="80">
        <f t="shared" si="174"/>
        <v>0</v>
      </c>
      <c r="U148" s="246">
        <f>'400'!U148+'404'!U148+'411'!U148+'425'!U148+'426'!U148</f>
        <v>0</v>
      </c>
      <c r="V148" s="80">
        <f t="shared" si="175"/>
        <v>0</v>
      </c>
      <c r="W148" s="246">
        <f>'400'!W148+'404'!W148+'411'!W148+'425'!W148+'426'!W148</f>
        <v>0</v>
      </c>
      <c r="X148" s="80">
        <f t="shared" si="176"/>
        <v>0</v>
      </c>
      <c r="Y148" s="246">
        <f>'400'!Y148+'404'!Y148+'411'!Y148+'425'!Y148+'426'!Y148</f>
        <v>0</v>
      </c>
      <c r="Z148" s="80">
        <f t="shared" si="177"/>
        <v>0</v>
      </c>
      <c r="AA148" s="50">
        <f>'400'!AA148+'404'!AA148+'411'!AA148+'425'!AA148+'426'!AA148</f>
        <v>0</v>
      </c>
      <c r="AB148" s="80">
        <f t="shared" si="178"/>
        <v>0</v>
      </c>
      <c r="AC148" s="50">
        <f t="shared" si="179"/>
        <v>0</v>
      </c>
      <c r="AD148" s="80">
        <f t="shared" si="180"/>
        <v>0</v>
      </c>
      <c r="AE148" s="144"/>
      <c r="AF148" s="64">
        <f t="shared" si="134"/>
        <v>0</v>
      </c>
      <c r="AG148" s="27" t="e">
        <f>'400'!#REF!+#REF!+#REF!+#REF!+'404'!#REF!+#REF!+#REF!+#REF!+#REF!+#REF!+#REF!</f>
        <v>#REF!</v>
      </c>
      <c r="AH148" s="27" t="e">
        <f t="shared" si="165"/>
        <v>#REF!</v>
      </c>
      <c r="AI148" s="27">
        <f>'400'!AA148+'404'!AA148+'411'!AA148</f>
        <v>0</v>
      </c>
    </row>
    <row r="149" spans="1:41" customFormat="1" ht="15.75" thickTop="1">
      <c r="A149" s="1"/>
      <c r="B149" s="66"/>
      <c r="C149" s="189">
        <f>'400'!C149+'404'!C149+'411'!C149+'425'!C149+'426'!C149</f>
        <v>0</v>
      </c>
      <c r="D149" s="49">
        <f t="shared" si="166"/>
        <v>0</v>
      </c>
      <c r="E149" s="189">
        <f>'400'!E149+'404'!E149+'411'!E149+'425'!E149+'426'!E149</f>
        <v>0</v>
      </c>
      <c r="F149" s="49">
        <f t="shared" si="167"/>
        <v>0</v>
      </c>
      <c r="G149" s="189">
        <f>'400'!G149+'404'!G149+'411'!G149+'425'!G149+'426'!G149</f>
        <v>0</v>
      </c>
      <c r="H149" s="49">
        <f t="shared" si="168"/>
        <v>0</v>
      </c>
      <c r="I149" s="189">
        <f>'400'!I149+'404'!I149+'411'!I149+'425'!I149+'426'!I149</f>
        <v>0</v>
      </c>
      <c r="J149" s="49">
        <f t="shared" si="169"/>
        <v>0</v>
      </c>
      <c r="K149" s="189">
        <f>'400'!K149+'404'!K149+'411'!K149+'425'!K149+'426'!K149</f>
        <v>0</v>
      </c>
      <c r="L149" s="49">
        <f t="shared" si="170"/>
        <v>0</v>
      </c>
      <c r="M149" s="189">
        <f>'400'!M149+'404'!M149+'411'!M149+'425'!M149+'426'!M149</f>
        <v>0</v>
      </c>
      <c r="N149" s="49">
        <f t="shared" si="171"/>
        <v>0</v>
      </c>
      <c r="O149" s="189">
        <f>'400'!O149+'404'!O149+'411'!O149+'425'!O149+'426'!O149</f>
        <v>0</v>
      </c>
      <c r="P149" s="49">
        <f t="shared" si="172"/>
        <v>0</v>
      </c>
      <c r="Q149" s="189">
        <f>'400'!Q149+'404'!Q149+'411'!Q149+'425'!Q149+'426'!Q149</f>
        <v>0</v>
      </c>
      <c r="R149" s="49">
        <f t="shared" si="173"/>
        <v>0</v>
      </c>
      <c r="S149" s="189">
        <f>'400'!S149+'404'!S149+'411'!S149+'425'!S149+'426'!S149</f>
        <v>0</v>
      </c>
      <c r="T149" s="49">
        <f t="shared" si="174"/>
        <v>0</v>
      </c>
      <c r="U149" s="189">
        <f>'400'!U149+'404'!U149+'411'!U149+'425'!U149+'426'!U149</f>
        <v>0</v>
      </c>
      <c r="V149" s="49">
        <f t="shared" si="175"/>
        <v>0</v>
      </c>
      <c r="W149" s="189">
        <f>'400'!W149+'404'!W149+'411'!W149+'425'!W149+'426'!W149</f>
        <v>0</v>
      </c>
      <c r="X149" s="49">
        <f t="shared" si="176"/>
        <v>0</v>
      </c>
      <c r="Y149" s="189">
        <f>'400'!Y149+'404'!Y149+'411'!Y149+'425'!Y149+'426'!Y149</f>
        <v>0</v>
      </c>
      <c r="Z149" s="49">
        <f t="shared" si="177"/>
        <v>0</v>
      </c>
      <c r="AA149" s="324">
        <f>'400'!AA149+'404'!AA149+'411'!AA149+'425'!AA149+'426'!AA149</f>
        <v>0</v>
      </c>
      <c r="AB149" s="118">
        <f t="shared" si="178"/>
        <v>0</v>
      </c>
      <c r="AC149" s="327">
        <f t="shared" si="179"/>
        <v>0</v>
      </c>
      <c r="AD149" s="121">
        <f t="shared" si="180"/>
        <v>0</v>
      </c>
      <c r="AE149" s="138"/>
      <c r="AF149" s="64">
        <f t="shared" si="134"/>
        <v>0</v>
      </c>
      <c r="AG149" s="27" t="e">
        <f>'400'!#REF!+#REF!+#REF!+#REF!+'404'!#REF!+#REF!+#REF!+#REF!+#REF!+#REF!+#REF!</f>
        <v>#REF!</v>
      </c>
      <c r="AH149" s="27" t="e">
        <f t="shared" si="165"/>
        <v>#REF!</v>
      </c>
      <c r="AI149" s="27">
        <f>'400'!AA149+'404'!AA149+'411'!AA149</f>
        <v>0</v>
      </c>
    </row>
    <row r="150" spans="1:41" s="1" customFormat="1" ht="15.75" customHeight="1" thickBot="1">
      <c r="A150" s="140"/>
      <c r="B150" s="282" t="s">
        <v>206</v>
      </c>
      <c r="C150" s="246">
        <f>'400'!C150+'404'!C150+'411'!C150+'425'!C150+'426'!C150</f>
        <v>0</v>
      </c>
      <c r="D150" s="281">
        <f t="shared" si="166"/>
        <v>0</v>
      </c>
      <c r="E150" s="246">
        <f>'400'!E150+'404'!E150+'411'!E150+'425'!E150+'426'!E150</f>
        <v>0</v>
      </c>
      <c r="F150" s="143">
        <f t="shared" si="167"/>
        <v>0</v>
      </c>
      <c r="G150" s="246">
        <f>'400'!G150+'404'!G150+'411'!G150+'425'!G150+'426'!G150</f>
        <v>0</v>
      </c>
      <c r="H150" s="143">
        <f t="shared" si="168"/>
        <v>0</v>
      </c>
      <c r="I150" s="246">
        <f>'400'!I150+'404'!I150+'411'!I150+'425'!I150+'426'!I150</f>
        <v>0</v>
      </c>
      <c r="J150" s="143">
        <f t="shared" si="169"/>
        <v>0</v>
      </c>
      <c r="K150" s="246">
        <f>'400'!K150+'404'!K150+'411'!K150+'425'!K150+'426'!K150</f>
        <v>0</v>
      </c>
      <c r="L150" s="80">
        <f t="shared" si="170"/>
        <v>0</v>
      </c>
      <c r="M150" s="246">
        <f>'400'!M150+'404'!M150+'411'!M150+'425'!M150+'426'!M150</f>
        <v>0</v>
      </c>
      <c r="N150" s="80">
        <f t="shared" si="171"/>
        <v>0</v>
      </c>
      <c r="O150" s="246">
        <f>'400'!O150+'404'!O150+'411'!O150+'425'!O150+'426'!O150</f>
        <v>0</v>
      </c>
      <c r="P150" s="80">
        <f t="shared" si="172"/>
        <v>0</v>
      </c>
      <c r="Q150" s="246">
        <f>'400'!Q150+'404'!Q150+'411'!Q150+'425'!Q150+'426'!Q150</f>
        <v>0</v>
      </c>
      <c r="R150" s="80">
        <f t="shared" si="173"/>
        <v>0</v>
      </c>
      <c r="S150" s="246">
        <f>'400'!S150+'404'!S150+'411'!S150+'425'!S150+'426'!S150</f>
        <v>0</v>
      </c>
      <c r="T150" s="80">
        <f t="shared" si="174"/>
        <v>0</v>
      </c>
      <c r="U150" s="246">
        <f>'400'!U150+'404'!U150+'411'!U150+'425'!U150+'426'!U150</f>
        <v>0</v>
      </c>
      <c r="V150" s="80">
        <f t="shared" si="175"/>
        <v>0</v>
      </c>
      <c r="W150" s="246">
        <f>'400'!W150+'404'!W150+'411'!W150+'425'!W150+'426'!W150</f>
        <v>0</v>
      </c>
      <c r="X150" s="80">
        <f t="shared" si="176"/>
        <v>0</v>
      </c>
      <c r="Y150" s="246">
        <f>'400'!Y150+'404'!Y150+'411'!Y150+'425'!Y150+'426'!Y150</f>
        <v>0</v>
      </c>
      <c r="Z150" s="80">
        <f t="shared" si="177"/>
        <v>0</v>
      </c>
      <c r="AA150" s="156">
        <f>'400'!AA150+'404'!AA150+'411'!AA150+'425'!AA150+'426'!AA150</f>
        <v>0</v>
      </c>
      <c r="AB150" s="143">
        <f t="shared" si="178"/>
        <v>0</v>
      </c>
      <c r="AC150" s="156">
        <f t="shared" si="179"/>
        <v>0</v>
      </c>
      <c r="AD150" s="143">
        <f t="shared" si="180"/>
        <v>0</v>
      </c>
      <c r="AE150" s="259"/>
      <c r="AF150" s="64">
        <f t="shared" ref="AF150:AF152" si="181">C150+E150+G150+I150+K150+M150+O150+Q150+S150+U150+W150+Y150</f>
        <v>0</v>
      </c>
      <c r="AG150" s="54"/>
      <c r="AI150" s="27">
        <f>'400'!AA150+'404'!AA150+'411'!AA150</f>
        <v>0</v>
      </c>
      <c r="AJ150" s="269"/>
      <c r="AK150" s="260"/>
      <c r="AL150" s="260"/>
      <c r="AM150" s="268"/>
      <c r="AN150" s="54"/>
      <c r="AO150" s="54"/>
    </row>
    <row r="151" spans="1:41" s="1" customFormat="1" ht="15.75" thickTop="1">
      <c r="B151" s="66"/>
      <c r="C151" s="189">
        <f>'400'!C151+'404'!C151+'411'!C151+'425'!C151+'426'!C151</f>
        <v>0</v>
      </c>
      <c r="D151" s="49">
        <f t="shared" si="166"/>
        <v>0</v>
      </c>
      <c r="E151" s="189">
        <f>'400'!E151+'404'!E151+'411'!E151+'425'!E151+'426'!E151</f>
        <v>0</v>
      </c>
      <c r="F151" s="49">
        <f t="shared" si="167"/>
        <v>0</v>
      </c>
      <c r="G151" s="189">
        <f>'400'!G151+'404'!G151+'411'!G151+'425'!G151+'426'!G151</f>
        <v>0</v>
      </c>
      <c r="H151" s="49">
        <f t="shared" si="168"/>
        <v>0</v>
      </c>
      <c r="I151" s="189">
        <f>'400'!I151+'404'!I151+'411'!I151+'425'!I151+'426'!I151</f>
        <v>0</v>
      </c>
      <c r="J151" s="49">
        <f t="shared" si="169"/>
        <v>0</v>
      </c>
      <c r="K151" s="189">
        <f>'400'!K151+'404'!K151+'411'!K151+'425'!K151+'426'!K151</f>
        <v>0</v>
      </c>
      <c r="L151" s="49">
        <f t="shared" si="170"/>
        <v>0</v>
      </c>
      <c r="M151" s="189">
        <f>'400'!M151+'404'!M151+'411'!M151+'425'!M151+'426'!M151</f>
        <v>0</v>
      </c>
      <c r="N151" s="49">
        <f t="shared" si="171"/>
        <v>0</v>
      </c>
      <c r="O151" s="189">
        <f>'400'!O151+'404'!O151+'411'!O151+'425'!O151+'426'!O151</f>
        <v>0</v>
      </c>
      <c r="P151" s="49">
        <f t="shared" si="172"/>
        <v>0</v>
      </c>
      <c r="Q151" s="189">
        <f>'400'!Q151+'404'!Q151+'411'!Q151+'425'!Q151+'426'!Q151</f>
        <v>0</v>
      </c>
      <c r="R151" s="49">
        <f t="shared" si="173"/>
        <v>0</v>
      </c>
      <c r="S151" s="189">
        <f>'400'!S151+'404'!S151+'411'!S151+'425'!S151+'426'!S151</f>
        <v>0</v>
      </c>
      <c r="T151" s="49">
        <f t="shared" si="174"/>
        <v>0</v>
      </c>
      <c r="U151" s="189">
        <f>'400'!U151+'404'!U151+'411'!U151+'425'!U151+'426'!U151</f>
        <v>0</v>
      </c>
      <c r="V151" s="49">
        <f t="shared" si="175"/>
        <v>0</v>
      </c>
      <c r="W151" s="189">
        <f>'400'!W151+'404'!W151+'411'!W151+'425'!W151+'426'!W151</f>
        <v>0</v>
      </c>
      <c r="X151" s="49">
        <f t="shared" si="176"/>
        <v>0</v>
      </c>
      <c r="Y151" s="189">
        <f>'400'!Y151+'404'!Y151+'411'!Y151+'425'!Y151+'426'!Y151</f>
        <v>0</v>
      </c>
      <c r="Z151" s="49">
        <f t="shared" si="177"/>
        <v>0</v>
      </c>
      <c r="AA151" s="324">
        <f>'400'!AA151+'404'!AA151+'411'!AA151+'425'!AA151+'426'!AA151</f>
        <v>0</v>
      </c>
      <c r="AB151" s="118">
        <f t="shared" si="178"/>
        <v>0</v>
      </c>
      <c r="AC151" s="327">
        <f t="shared" si="179"/>
        <v>0</v>
      </c>
      <c r="AD151" s="121">
        <f t="shared" si="180"/>
        <v>0</v>
      </c>
      <c r="AE151" s="138"/>
      <c r="AF151" s="64">
        <f t="shared" si="181"/>
        <v>0</v>
      </c>
      <c r="AG151" s="27"/>
      <c r="AH151" s="27"/>
      <c r="AI151" s="27">
        <f>'400'!AA151+'404'!AA151+'411'!AA151</f>
        <v>0</v>
      </c>
    </row>
    <row r="152" spans="1:41" customFormat="1" ht="15.75" thickBot="1">
      <c r="A152" s="141"/>
      <c r="B152" s="255" t="s">
        <v>191</v>
      </c>
      <c r="C152" s="166">
        <f>'400'!C152+'404'!C152+'411'!C152+'425'!C152+'426'!C152</f>
        <v>32716.371211381254</v>
      </c>
      <c r="D152" s="154">
        <f t="shared" si="166"/>
        <v>4.7682397692833084E-2</v>
      </c>
      <c r="E152" s="166">
        <f>'400'!E152+'404'!E152+'411'!E152+'425'!E152+'426'!E152</f>
        <v>-46528.918679841532</v>
      </c>
      <c r="F152" s="154">
        <f t="shared" si="167"/>
        <v>-8.7163723506986937E-2</v>
      </c>
      <c r="G152" s="166">
        <f>'400'!G152+'404'!G152+'411'!G152+'425'!G152+'426'!G152</f>
        <v>89107.103439748505</v>
      </c>
      <c r="H152" s="154">
        <f t="shared" si="168"/>
        <v>0.10063204232183121</v>
      </c>
      <c r="I152" s="166">
        <f>'400'!I152+'404'!I152+'411'!I152+'425'!I152+'426'!I152</f>
        <v>42882.475968350831</v>
      </c>
      <c r="J152" s="154">
        <f t="shared" si="169"/>
        <v>5.4846122548785341E-2</v>
      </c>
      <c r="K152" s="166">
        <f>'400'!K152+'404'!K152+'411'!K152+'425'!K152+'426'!K152</f>
        <v>68518.642355910561</v>
      </c>
      <c r="L152" s="154">
        <f t="shared" si="170"/>
        <v>9.5817037826295012E-2</v>
      </c>
      <c r="M152" s="166">
        <f>'400'!M152+'404'!M152+'411'!M152+'425'!M152+'426'!M152</f>
        <v>120920.3458766859</v>
      </c>
      <c r="N152" s="154">
        <f t="shared" si="171"/>
        <v>0.11925082210903434</v>
      </c>
      <c r="O152" s="166">
        <f>'400'!O152+'404'!O152+'411'!O152+'425'!O152+'426'!O152</f>
        <v>-28966.605797986635</v>
      </c>
      <c r="P152" s="154">
        <f t="shared" si="172"/>
        <v>-4.5121141628335817E-2</v>
      </c>
      <c r="Q152" s="166">
        <f>'400'!Q152+'404'!Q152+'411'!Q152+'425'!Q152+'426'!Q152</f>
        <v>4192.5246007067508</v>
      </c>
      <c r="R152" s="154">
        <f t="shared" si="173"/>
        <v>5.2592977026994243E-3</v>
      </c>
      <c r="S152" s="166">
        <f>'400'!S152+'404'!S152+'411'!S152+'425'!S152+'426'!S152</f>
        <v>44703.291104786622</v>
      </c>
      <c r="T152" s="154">
        <f t="shared" si="174"/>
        <v>5.5667102999512046E-2</v>
      </c>
      <c r="U152" s="166">
        <f>'400'!U152+'404'!U152+'411'!U152+'425'!U152+'426'!U152</f>
        <v>-2460.3475979193609</v>
      </c>
      <c r="V152" s="154">
        <f t="shared" si="175"/>
        <v>-3.8625072813737228E-3</v>
      </c>
      <c r="W152" s="166">
        <f>'400'!W152+'404'!W152+'411'!W152+'425'!W152+'426'!W152</f>
        <v>23691.459157480193</v>
      </c>
      <c r="X152" s="154">
        <f t="shared" si="176"/>
        <v>3.655570735120825E-2</v>
      </c>
      <c r="Y152" s="166">
        <f>'400'!Y152+'404'!Y152+'411'!Y152+'425'!Y152+'426'!Y152</f>
        <v>145692.87247526442</v>
      </c>
      <c r="Z152" s="154">
        <f t="shared" si="177"/>
        <v>0.14881063060389532</v>
      </c>
      <c r="AA152" s="247">
        <f>'400'!AA152+'404'!AA152+'411'!AA152+'425'!AA152+'426'!AA152</f>
        <v>494468.09411456867</v>
      </c>
      <c r="AB152" s="151">
        <f t="shared" si="178"/>
        <v>5.4201994697016649E-2</v>
      </c>
      <c r="AC152" s="316">
        <f t="shared" si="179"/>
        <v>41205.674509547389</v>
      </c>
      <c r="AD152" s="151">
        <f t="shared" si="180"/>
        <v>5.4201994697016663E-2</v>
      </c>
      <c r="AE152" s="138"/>
      <c r="AF152" s="64">
        <f t="shared" si="181"/>
        <v>494469.21411456761</v>
      </c>
      <c r="AG152" s="27" t="e">
        <f>'400'!#REF!+#REF!+#REF!+#REF!+'404'!#REF!+#REF!+#REF!+#REF!+#REF!+#REF!+#REF!</f>
        <v>#REF!</v>
      </c>
      <c r="AH152" s="27" t="e">
        <f>AA152-AG152</f>
        <v>#REF!</v>
      </c>
      <c r="AI152" s="27">
        <f>'400'!AA152+'404'!AA152+'411'!AA152</f>
        <v>29636.42174043713</v>
      </c>
    </row>
    <row r="153" spans="1:41" ht="15.75" thickTop="1">
      <c r="C153" s="135">
        <f>'400'!C153+'404'!C153+'411'!C153+Sheet2!C152+Sheet3!C152+'425'!C153+'426'!C153</f>
        <v>8528.6142222465423</v>
      </c>
      <c r="O153" s="135">
        <v>-27923.38</v>
      </c>
      <c r="Q153" s="135">
        <v>54433</v>
      </c>
      <c r="AA153" s="168">
        <f>AA152*5.09</f>
        <v>2516842.5990431546</v>
      </c>
    </row>
    <row r="154" spans="1:41">
      <c r="A154" s="179"/>
      <c r="B154" s="180" t="s">
        <v>138</v>
      </c>
      <c r="C154" s="181">
        <f>'400'!C154+'404'!C154+'411'!C154+Sheet2!C153+Sheet3!C153+'425'!C154+'426'!C154</f>
        <v>32716.371211381254</v>
      </c>
      <c r="D154" s="182"/>
      <c r="E154" s="181">
        <f>E152+C154</f>
        <v>-13812.547468460278</v>
      </c>
      <c r="F154" s="183"/>
      <c r="G154" s="181">
        <f>G152+E154</f>
        <v>75294.555971288224</v>
      </c>
      <c r="H154" s="183"/>
      <c r="I154" s="181">
        <f>I152+G154</f>
        <v>118177.03193963906</v>
      </c>
      <c r="J154" s="183"/>
      <c r="K154" s="181">
        <f>K152+I154+0.29</f>
        <v>186695.96429554964</v>
      </c>
      <c r="L154" s="183"/>
      <c r="M154" s="181">
        <f>M152+K154</f>
        <v>307616.31017223553</v>
      </c>
      <c r="N154" s="183"/>
      <c r="O154" s="181">
        <f>O152+M154</f>
        <v>278649.70437424892</v>
      </c>
      <c r="P154" s="183"/>
      <c r="Q154" s="181">
        <f>Q152+O154</f>
        <v>282842.22897495568</v>
      </c>
      <c r="R154" s="183"/>
      <c r="S154" s="181">
        <f>S152+Q154</f>
        <v>327545.5200797423</v>
      </c>
      <c r="T154" s="183"/>
      <c r="U154" s="181">
        <f>U152+S154</f>
        <v>325085.17248182296</v>
      </c>
      <c r="V154" s="183"/>
      <c r="W154" s="181">
        <f>W152+U154</f>
        <v>348776.63163930317</v>
      </c>
      <c r="X154" s="183"/>
      <c r="Y154" s="181">
        <f>Y152+W154</f>
        <v>494469.50411456759</v>
      </c>
      <c r="Z154" s="183"/>
      <c r="AA154" s="168"/>
    </row>
    <row r="155" spans="1:41">
      <c r="M155" s="135">
        <v>179696.17</v>
      </c>
      <c r="Q155" s="135">
        <v>245889.5</v>
      </c>
      <c r="Y155" s="299" t="s">
        <v>213</v>
      </c>
      <c r="Z155" s="300" t="s">
        <v>103</v>
      </c>
      <c r="AA155" s="301">
        <f>AA152*5.09</f>
        <v>2516842.5990431546</v>
      </c>
      <c r="AB155" s="294"/>
      <c r="AC155" s="168"/>
      <c r="AD155" s="194"/>
      <c r="AE155" s="194"/>
    </row>
    <row r="156" spans="1:41">
      <c r="G156" s="135" t="s">
        <v>201</v>
      </c>
      <c r="I156" s="135">
        <f>I152*5.09</f>
        <v>218271.80267890572</v>
      </c>
      <c r="M156" s="135">
        <f>SUM(M154:M155)</f>
        <v>487312.48017223552</v>
      </c>
      <c r="Y156" s="299" t="s">
        <v>214</v>
      </c>
      <c r="Z156" s="300" t="s">
        <v>103</v>
      </c>
      <c r="AA156" s="301">
        <f>'400'!AA155</f>
        <v>-336309.66589998372</v>
      </c>
      <c r="AC156" s="168"/>
    </row>
    <row r="157" spans="1:41">
      <c r="G157" s="135" t="s">
        <v>201</v>
      </c>
      <c r="S157" s="135">
        <f>S154*5.09</f>
        <v>1667206.6972058883</v>
      </c>
      <c r="Y157" s="299" t="s">
        <v>215</v>
      </c>
      <c r="Z157" s="300" t="s">
        <v>103</v>
      </c>
      <c r="AA157" s="301">
        <f>'404'!AA155</f>
        <v>107990.70858225922</v>
      </c>
    </row>
    <row r="158" spans="1:41">
      <c r="G158" s="135" t="s">
        <v>201</v>
      </c>
      <c r="U158" s="135" t="s">
        <v>201</v>
      </c>
      <c r="Y158" s="299" t="s">
        <v>216</v>
      </c>
      <c r="Z158" s="300" t="s">
        <v>103</v>
      </c>
      <c r="AA158" s="301">
        <f>'411'!AA155</f>
        <v>379168.34397654945</v>
      </c>
    </row>
    <row r="159" spans="1:41" ht="19.5" customHeight="1">
      <c r="Y159" s="299" t="s">
        <v>300</v>
      </c>
      <c r="Z159" s="300" t="s">
        <v>103</v>
      </c>
      <c r="AA159" s="301">
        <f>'425'!AA152*5.09</f>
        <v>275725.88696424972</v>
      </c>
    </row>
    <row r="160" spans="1:41">
      <c r="U160" s="135" t="s">
        <v>201</v>
      </c>
      <c r="Y160" s="299" t="s">
        <v>301</v>
      </c>
      <c r="Z160" s="300" t="s">
        <v>103</v>
      </c>
      <c r="AA160" s="301">
        <f>'426'!AA152*5.09</f>
        <v>2090267.3254200795</v>
      </c>
    </row>
    <row r="161" spans="7:27">
      <c r="G161" s="135" t="s">
        <v>201</v>
      </c>
      <c r="AA161" s="168"/>
    </row>
  </sheetData>
  <customSheetViews>
    <customSheetView guid="{AA4262F8-9AB3-4147-94E2-8DEF81F7E83C}" hiddenRows="1" hiddenColumns="1">
      <pane xSplit="2" ySplit="3" topLeftCell="C4" activePane="bottomRight" state="frozen"/>
      <selection pane="bottomRight" activeCell="B8" sqref="B8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"/>
    </customSheetView>
    <customSheetView guid="{A8167CC1-C909-4D11-B8D5-4313083C8125}" hiddenRows="1" hiddenColumns="1">
      <pane xSplit="2" ySplit="3" topLeftCell="C121" activePane="bottomRight" state="frozen"/>
      <selection pane="bottomRight" activeCell="G120" sqref="G120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2"/>
    </customSheetView>
    <customSheetView guid="{C4C974E7-2FCF-4C3A-A063-03001047949F}" topLeftCell="A100">
      <selection activeCell="C112" sqref="C112:AD112"/>
      <pageMargins left="0.7" right="0.7" top="0.75" bottom="0.75" header="0.3" footer="0.3"/>
      <pageSetup orientation="portrait" verticalDpi="0" r:id="rId3"/>
    </customSheetView>
    <customSheetView guid="{A879B074-133C-4DA1-A94D-0D1575EAAFB0}">
      <selection activeCell="C5" sqref="C5"/>
      <pageMargins left="0.7" right="0.7" top="0.75" bottom="0.75" header="0.3" footer="0.3"/>
      <pageSetup orientation="portrait" verticalDpi="0" r:id="rId4"/>
    </customSheetView>
    <customSheetView guid="{B2BB7590-1CD2-4457-858D-F8835B99F338}" showPageBreaks="1" hiddenRows="1" hiddenColumns="1">
      <pane xSplit="2" ySplit="3" topLeftCell="C78" activePane="bottomRight" state="frozen"/>
      <selection pane="bottomRight" activeCell="I169" sqref="I169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5"/>
    </customSheetView>
    <customSheetView guid="{209662B1-09B2-4060-A837-250CED7848ED}" hiddenRows="1" hiddenColumns="1">
      <pane xSplit="2" ySplit="3" topLeftCell="M4" activePane="bottomRight" state="frozen"/>
      <selection pane="bottomRight" activeCell="V16" sqref="V1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6"/>
    </customSheetView>
    <customSheetView guid="{02AA01BD-C75B-4B6E-A8E6-EEB6E90D29E4}" hiddenRows="1" hiddenColumns="1">
      <pane xSplit="2" ySplit="3" topLeftCell="H103" activePane="bottomRight" state="frozen"/>
      <selection pane="bottomRight" activeCell="S166" sqref="S16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7"/>
    </customSheetView>
    <customSheetView guid="{879F34B1-DA85-44D2-99EE-74A633FB2C72}" hiddenRows="1" hiddenColumns="1">
      <pane xSplit="2" ySplit="3" topLeftCell="C4" activePane="bottomRight" state="frozen"/>
      <selection pane="bottomRight" activeCell="C18" sqref="C18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8"/>
    </customSheetView>
    <customSheetView guid="{F3E5B7E7-D3C6-4CDC-BAA7-D62F15A870E4}">
      <selection activeCell="T118" sqref="T118"/>
      <pageMargins left="0.7" right="0.7" top="0.75" bottom="0.75" header="0.3" footer="0.3"/>
      <pageSetup orientation="portrait" verticalDpi="0" r:id="rId9"/>
    </customSheetView>
    <customSheetView guid="{D65E0E17-9A53-4B36-ADDE-FDFBD878E6A1}">
      <selection activeCell="T118" sqref="T118"/>
      <pageMargins left="0.7" right="0.7" top="0.75" bottom="0.75" header="0.3" footer="0.3"/>
      <pageSetup orientation="portrait" verticalDpi="0" r:id="rId10"/>
    </customSheetView>
    <customSheetView guid="{BFB0E08A-7D07-48F2-93C4-BE631A8642F6}" showPageBreaks="1" hiddenRows="1" hiddenColumns="1">
      <pane xSplit="2" ySplit="3" topLeftCell="D117" activePane="bottomRight" state="frozen"/>
      <selection pane="bottomRight" activeCell="G174" sqref="G174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1"/>
    </customSheetView>
    <customSheetView guid="{E19D3675-E478-4A54-8E7A-94A199F67811}" hiddenRows="1" hiddenColumns="1">
      <pane xSplit="2" ySplit="3" topLeftCell="E118" activePane="bottomRight" state="frozen"/>
      <selection pane="bottomRight" activeCell="K36" sqref="K3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2"/>
    </customSheetView>
  </customSheetViews>
  <mergeCells count="15">
    <mergeCell ref="A1:AD1"/>
    <mergeCell ref="C2:D2"/>
    <mergeCell ref="E2:F2"/>
    <mergeCell ref="G2:H2"/>
    <mergeCell ref="I2:J2"/>
    <mergeCell ref="K2:L2"/>
    <mergeCell ref="M2:N2"/>
    <mergeCell ref="O2:P2"/>
    <mergeCell ref="AA2:AB2"/>
    <mergeCell ref="AC2:AD2"/>
    <mergeCell ref="Q2:R2"/>
    <mergeCell ref="S2:T2"/>
    <mergeCell ref="U2:V2"/>
    <mergeCell ref="W2:X2"/>
    <mergeCell ref="Y2:Z2"/>
  </mergeCells>
  <printOptions horizontalCentered="1" verticalCentered="1"/>
  <pageMargins left="0.70866141732283505" right="0.32" top="0.47244094488188998" bottom="1.71" header="0.31496062992126" footer="0.49"/>
  <pageSetup paperSize="8" scale="55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J162"/>
  <sheetViews>
    <sheetView zoomScale="87" zoomScaleNormal="87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K59" sqref="K59"/>
    </sheetView>
  </sheetViews>
  <sheetFormatPr defaultColWidth="9.140625" defaultRowHeight="15"/>
  <cols>
    <col min="1" max="1" width="7.42578125" style="133" bestFit="1" customWidth="1"/>
    <col min="2" max="2" width="35.5703125" style="133" bestFit="1" customWidth="1"/>
    <col min="3" max="3" width="15.28515625" style="168" customWidth="1"/>
    <col min="4" max="4" width="12.5703125" style="133" customWidth="1"/>
    <col min="5" max="5" width="13.28515625" style="168" bestFit="1" customWidth="1"/>
    <col min="6" max="6" width="8.85546875" style="259" bestFit="1" customWidth="1"/>
    <col min="7" max="7" width="15.5703125" style="168" bestFit="1" customWidth="1"/>
    <col min="8" max="8" width="8.85546875" style="259" bestFit="1" customWidth="1"/>
    <col min="9" max="9" width="13.28515625" style="168" bestFit="1" customWidth="1"/>
    <col min="10" max="10" width="8.7109375" style="259" bestFit="1" customWidth="1"/>
    <col min="11" max="11" width="13.28515625" style="26" bestFit="1" customWidth="1"/>
    <col min="12" max="12" width="8.7109375" style="259" bestFit="1" customWidth="1"/>
    <col min="13" max="13" width="14.28515625" style="26" bestFit="1" customWidth="1"/>
    <col min="14" max="14" width="8.85546875" style="259" bestFit="1" customWidth="1"/>
    <col min="15" max="15" width="15.5703125" style="26" customWidth="1"/>
    <col min="16" max="16" width="10.7109375" style="259" customWidth="1"/>
    <col min="17" max="17" width="14.28515625" style="133" customWidth="1"/>
    <col min="18" max="18" width="9.140625" style="259" customWidth="1"/>
    <col min="19" max="19" width="15.140625" style="133" customWidth="1"/>
    <col min="20" max="20" width="8.85546875" style="259" bestFit="1" customWidth="1"/>
    <col min="21" max="21" width="14.42578125" style="133" customWidth="1"/>
    <col min="22" max="22" width="9.5703125" style="259" customWidth="1"/>
    <col min="23" max="23" width="14" style="133" bestFit="1" customWidth="1"/>
    <col min="24" max="24" width="8.140625" style="259" bestFit="1" customWidth="1"/>
    <col min="25" max="25" width="14" style="133" bestFit="1" customWidth="1"/>
    <col min="26" max="26" width="8.140625" style="259" bestFit="1" customWidth="1"/>
    <col min="27" max="27" width="15.140625" style="133" bestFit="1" customWidth="1"/>
    <col min="28" max="28" width="8.140625" style="259" bestFit="1" customWidth="1"/>
    <col min="29" max="29" width="11.42578125" style="133" bestFit="1" customWidth="1"/>
    <col min="30" max="30" width="8.140625" style="259" bestFit="1" customWidth="1"/>
    <col min="31" max="31" width="21.28515625" style="259" customWidth="1"/>
    <col min="32" max="32" width="16.85546875" style="168" customWidth="1"/>
    <col min="33" max="34" width="51.7109375" style="133" customWidth="1"/>
    <col min="35" max="35" width="12" style="133" hidden="1" customWidth="1"/>
    <col min="36" max="36" width="13.7109375" style="133" bestFit="1" customWidth="1"/>
    <col min="37" max="16384" width="9.140625" style="133"/>
  </cols>
  <sheetData>
    <row r="1" spans="1:36" s="1" customFormat="1">
      <c r="A1" s="600" t="s">
        <v>295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1"/>
      <c r="AE1" s="210"/>
      <c r="AF1" s="64"/>
      <c r="AH1" s="289"/>
    </row>
    <row r="2" spans="1:36" s="1" customFormat="1">
      <c r="A2" s="32"/>
      <c r="B2" s="32"/>
      <c r="C2" s="598" t="s">
        <v>64</v>
      </c>
      <c r="D2" s="599"/>
      <c r="E2" s="595" t="s">
        <v>65</v>
      </c>
      <c r="F2" s="595"/>
      <c r="G2" s="598" t="s">
        <v>81</v>
      </c>
      <c r="H2" s="599"/>
      <c r="I2" s="598" t="s">
        <v>82</v>
      </c>
      <c r="J2" s="599"/>
      <c r="K2" s="598" t="s">
        <v>83</v>
      </c>
      <c r="L2" s="599"/>
      <c r="M2" s="598" t="s">
        <v>84</v>
      </c>
      <c r="N2" s="602"/>
      <c r="O2" s="598" t="s">
        <v>85</v>
      </c>
      <c r="P2" s="599"/>
      <c r="Q2" s="598" t="s">
        <v>86</v>
      </c>
      <c r="R2" s="599"/>
      <c r="S2" s="595" t="s">
        <v>87</v>
      </c>
      <c r="T2" s="595"/>
      <c r="U2" s="598" t="s">
        <v>120</v>
      </c>
      <c r="V2" s="599"/>
      <c r="W2" s="598" t="s">
        <v>121</v>
      </c>
      <c r="X2" s="599"/>
      <c r="Y2" s="595" t="s">
        <v>122</v>
      </c>
      <c r="Z2" s="595"/>
      <c r="AA2" s="596" t="s">
        <v>118</v>
      </c>
      <c r="AB2" s="596"/>
      <c r="AC2" s="597" t="s">
        <v>119</v>
      </c>
      <c r="AD2" s="597"/>
      <c r="AE2" s="211"/>
      <c r="AF2" s="64"/>
      <c r="AH2" s="289"/>
    </row>
    <row r="3" spans="1:36" s="1" customFormat="1" ht="15.75" thickBot="1">
      <c r="A3" s="30"/>
      <c r="B3" s="12" t="s">
        <v>69</v>
      </c>
      <c r="C3" s="173" t="s">
        <v>106</v>
      </c>
      <c r="D3" s="31" t="s">
        <v>80</v>
      </c>
      <c r="E3" s="173" t="s">
        <v>106</v>
      </c>
      <c r="F3" s="74" t="s">
        <v>80</v>
      </c>
      <c r="G3" s="173" t="s">
        <v>106</v>
      </c>
      <c r="H3" s="74" t="s">
        <v>80</v>
      </c>
      <c r="I3" s="173" t="s">
        <v>106</v>
      </c>
      <c r="J3" s="74" t="s">
        <v>80</v>
      </c>
      <c r="K3" s="29" t="s">
        <v>106</v>
      </c>
      <c r="L3" s="74" t="s">
        <v>80</v>
      </c>
      <c r="M3" s="29" t="s">
        <v>106</v>
      </c>
      <c r="N3" s="74" t="s">
        <v>80</v>
      </c>
      <c r="O3" s="29" t="s">
        <v>106</v>
      </c>
      <c r="P3" s="74" t="s">
        <v>80</v>
      </c>
      <c r="Q3" s="12" t="s">
        <v>106</v>
      </c>
      <c r="R3" s="74" t="s">
        <v>80</v>
      </c>
      <c r="S3" s="12" t="s">
        <v>106</v>
      </c>
      <c r="T3" s="74" t="s">
        <v>80</v>
      </c>
      <c r="U3" s="12" t="s">
        <v>106</v>
      </c>
      <c r="V3" s="74" t="s">
        <v>80</v>
      </c>
      <c r="W3" s="12" t="s">
        <v>106</v>
      </c>
      <c r="X3" s="74" t="s">
        <v>80</v>
      </c>
      <c r="Y3" s="12" t="s">
        <v>106</v>
      </c>
      <c r="Z3" s="74" t="s">
        <v>80</v>
      </c>
      <c r="AA3" s="101" t="s">
        <v>106</v>
      </c>
      <c r="AB3" s="102" t="s">
        <v>80</v>
      </c>
      <c r="AC3" s="85" t="s">
        <v>106</v>
      </c>
      <c r="AD3" s="86" t="s">
        <v>80</v>
      </c>
      <c r="AE3" s="212"/>
      <c r="AF3" s="64"/>
      <c r="AH3" s="289"/>
    </row>
    <row r="4" spans="1:36" s="1" customFormat="1">
      <c r="C4" s="54">
        <v>0</v>
      </c>
      <c r="D4" s="17"/>
      <c r="E4" s="54">
        <v>0</v>
      </c>
      <c r="F4" s="75"/>
      <c r="G4" s="54">
        <v>0</v>
      </c>
      <c r="H4" s="75"/>
      <c r="I4" s="54">
        <v>0</v>
      </c>
      <c r="J4" s="75"/>
      <c r="K4" s="21">
        <v>0</v>
      </c>
      <c r="L4" s="75"/>
      <c r="M4" s="21">
        <v>0</v>
      </c>
      <c r="N4" s="75"/>
      <c r="O4" s="21">
        <v>0</v>
      </c>
      <c r="P4" s="75"/>
      <c r="Q4" s="54">
        <v>0</v>
      </c>
      <c r="R4" s="75"/>
      <c r="S4" s="5"/>
      <c r="T4" s="75"/>
      <c r="U4" s="5"/>
      <c r="V4" s="75"/>
      <c r="W4" s="5"/>
      <c r="X4" s="75"/>
      <c r="Y4" s="5"/>
      <c r="Z4" s="75"/>
      <c r="AA4" s="103"/>
      <c r="AB4" s="104"/>
      <c r="AC4" s="87"/>
      <c r="AD4" s="88"/>
      <c r="AE4" s="160"/>
      <c r="AF4" s="64"/>
      <c r="AH4" s="289"/>
    </row>
    <row r="5" spans="1:36" s="5" customFormat="1">
      <c r="A5" s="6">
        <v>5004</v>
      </c>
      <c r="B5" s="16" t="s">
        <v>71</v>
      </c>
      <c r="C5" s="580">
        <f>143468+C9</f>
        <v>199420.52000000002</v>
      </c>
      <c r="D5" s="355"/>
      <c r="E5" s="522">
        <f>111618+E9</f>
        <v>147335.76</v>
      </c>
      <c r="F5" s="355"/>
      <c r="G5" s="523">
        <f>185150.044846047+G9</f>
        <v>268467.54484604701</v>
      </c>
      <c r="H5" s="355"/>
      <c r="I5" s="524">
        <f>163486.427967279+I9</f>
        <v>222341.54203549947</v>
      </c>
      <c r="J5" s="355"/>
      <c r="K5" s="525">
        <f>149524.992881595+K9</f>
        <v>188401.4910308097</v>
      </c>
      <c r="L5" s="355"/>
      <c r="M5" s="526">
        <f>212024.369699535+M9</f>
        <v>296834.11757934897</v>
      </c>
      <c r="N5" s="355"/>
      <c r="O5" s="527">
        <f>134234.859185218+O9</f>
        <v>187928.8028593052</v>
      </c>
      <c r="P5" s="355"/>
      <c r="Q5" s="528">
        <f>166684.665043554+Q9</f>
        <v>231691.68441054007</v>
      </c>
      <c r="R5" s="355"/>
      <c r="S5" s="529">
        <f>167914.677155639+S9</f>
        <v>218289.08030233067</v>
      </c>
      <c r="T5" s="355"/>
      <c r="U5" s="530">
        <f>133191.018279431+U9</f>
        <v>181139.78486002618</v>
      </c>
      <c r="V5" s="355"/>
      <c r="W5" s="531">
        <f>135514.073329903+W9</f>
        <v>161261.74726258457</v>
      </c>
      <c r="X5" s="355"/>
      <c r="Y5" s="532">
        <f>204716.161910609+Y9</f>
        <v>274319.65696021606</v>
      </c>
      <c r="Z5" s="356">
        <v>1</v>
      </c>
      <c r="AA5" s="105">
        <f>C5+E5+G5+I5+K5+M5+O5+Q5+S5+U5+W5+Y5</f>
        <v>2577431.7321467078</v>
      </c>
      <c r="AB5" s="126">
        <v>1</v>
      </c>
      <c r="AC5" s="89">
        <f>AA5/12</f>
        <v>214785.97767889232</v>
      </c>
      <c r="AD5" s="126">
        <v>1</v>
      </c>
      <c r="AE5" s="333" t="s">
        <v>201</v>
      </c>
      <c r="AF5" s="221" t="s">
        <v>106</v>
      </c>
      <c r="AG5" s="204" t="s">
        <v>171</v>
      </c>
      <c r="AH5" s="204" t="s">
        <v>253</v>
      </c>
      <c r="AI5" s="21">
        <f>Q5*5.09</f>
        <v>1179310.6736496489</v>
      </c>
    </row>
    <row r="6" spans="1:36" s="1" customFormat="1">
      <c r="A6" s="5">
        <v>5005</v>
      </c>
      <c r="B6" s="5" t="s">
        <v>67</v>
      </c>
      <c r="C6" s="55"/>
      <c r="D6" s="68"/>
      <c r="E6" s="55"/>
      <c r="F6" s="68"/>
      <c r="G6" s="55"/>
      <c r="H6" s="68"/>
      <c r="I6" s="55"/>
      <c r="J6" s="68"/>
      <c r="K6" s="21"/>
      <c r="L6" s="68"/>
      <c r="M6" s="265"/>
      <c r="N6" s="67"/>
      <c r="O6" s="25"/>
      <c r="P6" s="68"/>
      <c r="Q6" s="36"/>
      <c r="R6" s="68"/>
      <c r="S6" s="37"/>
      <c r="T6" s="68"/>
      <c r="U6" s="36"/>
      <c r="V6" s="68"/>
      <c r="W6" s="36"/>
      <c r="X6" s="68"/>
      <c r="Y6" s="37"/>
      <c r="Z6" s="68"/>
      <c r="AA6" s="105">
        <f t="shared" ref="AA6:AA11" si="0">C6+E6+G6+I6+K6+M6+O6+Q6+S6+U6+W6+Y6</f>
        <v>0</v>
      </c>
      <c r="AB6" s="107"/>
      <c r="AC6" s="89">
        <f t="shared" ref="AC6:AC11" si="1">AA6/12</f>
        <v>0</v>
      </c>
      <c r="AD6" s="91"/>
      <c r="AE6" s="213"/>
      <c r="AF6" s="64"/>
      <c r="AH6" s="289"/>
      <c r="AI6" s="21">
        <f t="shared" ref="AI6:AI69" si="2">Q6*5.09</f>
        <v>0</v>
      </c>
    </row>
    <row r="7" spans="1:36" s="1" customFormat="1">
      <c r="A7" s="6">
        <v>5051</v>
      </c>
      <c r="B7" s="16" t="s">
        <v>74</v>
      </c>
      <c r="C7" s="55"/>
      <c r="D7" s="49">
        <f>C7/C$5</f>
        <v>0</v>
      </c>
      <c r="E7" s="55"/>
      <c r="F7" s="49">
        <f>E7/E$5</f>
        <v>0</v>
      </c>
      <c r="G7" s="289"/>
      <c r="H7" s="49">
        <f>G7/G$5</f>
        <v>0</v>
      </c>
      <c r="I7" s="55"/>
      <c r="J7" s="49">
        <f>I7/I$5</f>
        <v>0</v>
      </c>
      <c r="K7" s="55"/>
      <c r="L7" s="49">
        <f>K7/K$5</f>
        <v>0</v>
      </c>
      <c r="M7" s="55"/>
      <c r="N7" s="49">
        <f>M7/M$5</f>
        <v>0</v>
      </c>
      <c r="O7" s="55"/>
      <c r="P7" s="49">
        <f>O7/O$5</f>
        <v>0</v>
      </c>
      <c r="Q7" s="55"/>
      <c r="R7" s="49">
        <f>Q7/Q$5</f>
        <v>0</v>
      </c>
      <c r="S7" s="55"/>
      <c r="T7" s="49">
        <f>S7/S$5</f>
        <v>0</v>
      </c>
      <c r="U7" s="36"/>
      <c r="V7" s="49">
        <f>U7/U$5</f>
        <v>0</v>
      </c>
      <c r="W7" s="36"/>
      <c r="X7" s="49">
        <f>W7/W$5</f>
        <v>0</v>
      </c>
      <c r="Y7" s="36"/>
      <c r="Z7" s="49">
        <f>Y7/Y$5</f>
        <v>0</v>
      </c>
      <c r="AA7" s="105">
        <f t="shared" si="0"/>
        <v>0</v>
      </c>
      <c r="AB7" s="108">
        <f>AA7/AA$5</f>
        <v>0</v>
      </c>
      <c r="AC7" s="89">
        <f t="shared" si="1"/>
        <v>0</v>
      </c>
      <c r="AD7" s="92">
        <f>AC7/AC$5</f>
        <v>0</v>
      </c>
      <c r="AE7" s="214"/>
      <c r="AF7" s="64"/>
      <c r="AH7" s="289"/>
      <c r="AI7" s="21">
        <f t="shared" si="2"/>
        <v>0</v>
      </c>
    </row>
    <row r="8" spans="1:36" s="1" customFormat="1">
      <c r="A8" s="5">
        <v>5052</v>
      </c>
      <c r="B8" s="5" t="s">
        <v>90</v>
      </c>
      <c r="C8" s="55"/>
      <c r="D8" s="49">
        <f>C8/C$5</f>
        <v>0</v>
      </c>
      <c r="E8" s="55"/>
      <c r="F8" s="49">
        <f t="shared" ref="F8:F11" si="3">E8/E$5</f>
        <v>0</v>
      </c>
      <c r="G8" s="55"/>
      <c r="H8" s="49">
        <f t="shared" ref="H8:H11" si="4">G8/G$5</f>
        <v>0</v>
      </c>
      <c r="I8" s="55"/>
      <c r="J8" s="49">
        <f t="shared" ref="J8:J11" si="5">I8/I$5</f>
        <v>0</v>
      </c>
      <c r="K8" s="55"/>
      <c r="L8" s="49">
        <f t="shared" ref="L8:L11" si="6">K8/K$5</f>
        <v>0</v>
      </c>
      <c r="M8" s="55"/>
      <c r="N8" s="49">
        <f t="shared" ref="N8:N11" si="7">M8/M$5</f>
        <v>0</v>
      </c>
      <c r="O8" s="55"/>
      <c r="P8" s="49">
        <f t="shared" ref="P8:P11" si="8">O8/O$5</f>
        <v>0</v>
      </c>
      <c r="Q8" s="55"/>
      <c r="R8" s="49">
        <f t="shared" ref="R8:R11" si="9">Q8/Q$5</f>
        <v>0</v>
      </c>
      <c r="S8" s="55"/>
      <c r="T8" s="49">
        <f t="shared" ref="T8:T11" si="10">S8/S$5</f>
        <v>0</v>
      </c>
      <c r="U8" s="55"/>
      <c r="V8" s="49">
        <f t="shared" ref="V8:V11" si="11">U8/U$5</f>
        <v>0</v>
      </c>
      <c r="W8" s="55"/>
      <c r="X8" s="49">
        <f t="shared" ref="X8:X11" si="12">W8/W$5</f>
        <v>0</v>
      </c>
      <c r="Y8" s="55"/>
      <c r="Z8" s="49">
        <f t="shared" ref="Z8:Z11" si="13">Y8/Y$5</f>
        <v>0</v>
      </c>
      <c r="AA8" s="105">
        <f t="shared" si="0"/>
        <v>0</v>
      </c>
      <c r="AB8" s="108">
        <f t="shared" ref="AB8:AB11" si="14">AA8/AA$5</f>
        <v>0</v>
      </c>
      <c r="AC8" s="89">
        <f t="shared" si="1"/>
        <v>0</v>
      </c>
      <c r="AD8" s="92">
        <f t="shared" ref="AD8:AD11" si="15">AC8/AC$5</f>
        <v>0</v>
      </c>
      <c r="AE8" s="214"/>
      <c r="AF8" s="54"/>
      <c r="AH8" s="289"/>
      <c r="AI8" s="21">
        <f t="shared" si="2"/>
        <v>0</v>
      </c>
    </row>
    <row r="9" spans="1:36" s="1" customFormat="1">
      <c r="A9" s="5">
        <v>5101</v>
      </c>
      <c r="B9" s="5" t="s">
        <v>46</v>
      </c>
      <c r="C9" s="55">
        <f>143468*39%</f>
        <v>55952.520000000004</v>
      </c>
      <c r="D9" s="49">
        <f>C9/C$5</f>
        <v>0.2805755395683453</v>
      </c>
      <c r="E9" s="55">
        <f>111618*32%</f>
        <v>35717.760000000002</v>
      </c>
      <c r="F9" s="49">
        <f>E9/E$5</f>
        <v>0.24242424242424243</v>
      </c>
      <c r="G9" s="289">
        <f>185150*45%</f>
        <v>83317.5</v>
      </c>
      <c r="H9" s="49">
        <f>G9/G$5</f>
        <v>0.31034477574478697</v>
      </c>
      <c r="I9" s="55">
        <f>163486.427967279*36%</f>
        <v>58855.114068220442</v>
      </c>
      <c r="J9" s="49">
        <f>I9/I$5</f>
        <v>0.26470588235294112</v>
      </c>
      <c r="K9" s="25">
        <f>149524.992881595*26%</f>
        <v>38876.498149214705</v>
      </c>
      <c r="L9" s="49">
        <f>K9/K$5</f>
        <v>0.20634920634920637</v>
      </c>
      <c r="M9" s="25">
        <f>212024.369699535*40%</f>
        <v>84809.747879814007</v>
      </c>
      <c r="N9" s="49">
        <f>M9/M$5</f>
        <v>0.28571428571428575</v>
      </c>
      <c r="O9" s="25">
        <f>134234.859185218*40%</f>
        <v>53693.943674087204</v>
      </c>
      <c r="P9" s="49">
        <f>O9/O$5</f>
        <v>0.28571428571428575</v>
      </c>
      <c r="Q9" s="55">
        <f>166684.665043554*39%</f>
        <v>65007.019366986067</v>
      </c>
      <c r="R9" s="49">
        <f>Q9/Q$5</f>
        <v>0.28057553956834536</v>
      </c>
      <c r="S9" s="36">
        <f>167914.677155639*30%</f>
        <v>50374.403146691693</v>
      </c>
      <c r="T9" s="49">
        <f>S9/S$5</f>
        <v>0.23076923076923078</v>
      </c>
      <c r="U9" s="36">
        <f>133191.018279431*36%</f>
        <v>47948.766580595162</v>
      </c>
      <c r="V9" s="49">
        <f>U9/U$5</f>
        <v>0.26470588235294118</v>
      </c>
      <c r="W9" s="55">
        <f>135514.073329903*19%</f>
        <v>25747.673932681573</v>
      </c>
      <c r="X9" s="49">
        <f>W9/W$5</f>
        <v>0.1596638655462185</v>
      </c>
      <c r="Y9" s="36">
        <f>204716.161910609*34%</f>
        <v>69603.495049607067</v>
      </c>
      <c r="Z9" s="49">
        <f t="shared" si="13"/>
        <v>0.2537313432835821</v>
      </c>
      <c r="AA9" s="105">
        <f t="shared" si="0"/>
        <v>669904.44184789783</v>
      </c>
      <c r="AB9" s="108">
        <f t="shared" si="14"/>
        <v>0.25991161414387631</v>
      </c>
      <c r="AC9" s="89">
        <f t="shared" si="1"/>
        <v>55825.370153991484</v>
      </c>
      <c r="AD9" s="92">
        <f t="shared" si="15"/>
        <v>0.25991161414387626</v>
      </c>
      <c r="AE9" s="334">
        <f>AA5*33%</f>
        <v>850552.47160841362</v>
      </c>
      <c r="AF9" s="54"/>
      <c r="AH9" s="289"/>
      <c r="AI9" s="21">
        <f t="shared" si="2"/>
        <v>330885.72857795906</v>
      </c>
    </row>
    <row r="10" spans="1:36" s="1" customFormat="1">
      <c r="A10" s="1">
        <v>5102</v>
      </c>
      <c r="B10" s="1" t="s">
        <v>196</v>
      </c>
      <c r="C10" s="55">
        <v>0</v>
      </c>
      <c r="D10" s="49">
        <f>C10/C$5</f>
        <v>0</v>
      </c>
      <c r="E10" s="55"/>
      <c r="F10" s="49"/>
      <c r="G10" s="55"/>
      <c r="H10" s="49"/>
      <c r="I10" s="55"/>
      <c r="J10" s="49">
        <f t="shared" si="5"/>
        <v>0</v>
      </c>
      <c r="K10" s="21"/>
      <c r="L10" s="49">
        <f t="shared" si="6"/>
        <v>0</v>
      </c>
      <c r="M10" s="55"/>
      <c r="N10" s="49">
        <f t="shared" si="7"/>
        <v>0</v>
      </c>
      <c r="O10" s="55"/>
      <c r="P10" s="49">
        <f t="shared" si="8"/>
        <v>0</v>
      </c>
      <c r="Q10" s="21"/>
      <c r="R10" s="49">
        <f t="shared" si="9"/>
        <v>0</v>
      </c>
      <c r="S10" s="37"/>
      <c r="T10" s="49">
        <f t="shared" si="10"/>
        <v>0</v>
      </c>
      <c r="U10" s="37"/>
      <c r="V10" s="49">
        <f t="shared" si="11"/>
        <v>0</v>
      </c>
      <c r="W10" s="37"/>
      <c r="X10" s="49">
        <f t="shared" si="12"/>
        <v>0</v>
      </c>
      <c r="Y10" s="37"/>
      <c r="Z10" s="49">
        <f t="shared" si="13"/>
        <v>0</v>
      </c>
      <c r="AA10" s="105">
        <f t="shared" si="0"/>
        <v>0</v>
      </c>
      <c r="AB10" s="108">
        <f t="shared" si="14"/>
        <v>0</v>
      </c>
      <c r="AC10" s="89">
        <f t="shared" si="1"/>
        <v>0</v>
      </c>
      <c r="AD10" s="92">
        <f t="shared" si="15"/>
        <v>0</v>
      </c>
      <c r="AE10" s="214"/>
      <c r="AF10" s="54"/>
      <c r="AH10" s="289"/>
      <c r="AI10" s="21">
        <f t="shared" si="2"/>
        <v>0</v>
      </c>
    </row>
    <row r="11" spans="1:36" s="1" customFormat="1">
      <c r="A11" s="1">
        <v>5103</v>
      </c>
      <c r="B11" s="1" t="s">
        <v>63</v>
      </c>
      <c r="C11" s="46"/>
      <c r="D11" s="49">
        <f>C11/C$5</f>
        <v>0</v>
      </c>
      <c r="E11" s="61"/>
      <c r="F11" s="49">
        <f t="shared" si="3"/>
        <v>0</v>
      </c>
      <c r="G11" s="46"/>
      <c r="H11" s="49">
        <f t="shared" si="4"/>
        <v>0</v>
      </c>
      <c r="I11" s="46"/>
      <c r="J11" s="49">
        <f t="shared" si="5"/>
        <v>0</v>
      </c>
      <c r="K11" s="21"/>
      <c r="L11" s="49">
        <f t="shared" si="6"/>
        <v>0</v>
      </c>
      <c r="M11" s="21"/>
      <c r="N11" s="49">
        <f t="shared" si="7"/>
        <v>0</v>
      </c>
      <c r="O11" s="21"/>
      <c r="P11" s="49">
        <f t="shared" si="8"/>
        <v>0</v>
      </c>
      <c r="Q11" s="37">
        <v>0</v>
      </c>
      <c r="R11" s="49">
        <f t="shared" si="9"/>
        <v>0</v>
      </c>
      <c r="S11" s="37"/>
      <c r="T11" s="49">
        <f t="shared" si="10"/>
        <v>0</v>
      </c>
      <c r="U11" s="37"/>
      <c r="V11" s="49">
        <f t="shared" si="11"/>
        <v>0</v>
      </c>
      <c r="W11" s="37"/>
      <c r="X11" s="49">
        <f t="shared" si="12"/>
        <v>0</v>
      </c>
      <c r="Y11" s="37"/>
      <c r="Z11" s="49">
        <f t="shared" si="13"/>
        <v>0</v>
      </c>
      <c r="AA11" s="105">
        <f t="shared" si="0"/>
        <v>0</v>
      </c>
      <c r="AB11" s="108">
        <f t="shared" si="14"/>
        <v>0</v>
      </c>
      <c r="AC11" s="89">
        <f t="shared" si="1"/>
        <v>0</v>
      </c>
      <c r="AD11" s="92">
        <f t="shared" si="15"/>
        <v>0</v>
      </c>
      <c r="AE11" s="213"/>
      <c r="AF11" s="54"/>
      <c r="AH11" s="289"/>
      <c r="AI11" s="21">
        <f t="shared" si="2"/>
        <v>0</v>
      </c>
    </row>
    <row r="12" spans="1:36" s="1" customFormat="1" ht="15.75" thickBot="1">
      <c r="A12" s="7">
        <v>5149</v>
      </c>
      <c r="B12" s="354" t="s">
        <v>66</v>
      </c>
      <c r="C12" s="56">
        <f>C5+C6-C7-C8-C9-C10+C11</f>
        <v>143468</v>
      </c>
      <c r="D12" s="257">
        <f>C12/C12</f>
        <v>1</v>
      </c>
      <c r="E12" s="56">
        <f>E5+E6-E7-E8-E9-E10+E11</f>
        <v>111618</v>
      </c>
      <c r="F12" s="257">
        <f>E12/E12</f>
        <v>1</v>
      </c>
      <c r="G12" s="56">
        <f>G5+G6-G7-G8-G9-G10+G11</f>
        <v>185150.04484604701</v>
      </c>
      <c r="H12" s="71">
        <f>G12/G12</f>
        <v>1</v>
      </c>
      <c r="I12" s="56">
        <f>I5+I6-I7-I8-I9-I10+I11</f>
        <v>163486.42796727904</v>
      </c>
      <c r="J12" s="257">
        <f>I12/I12</f>
        <v>1</v>
      </c>
      <c r="K12" s="56">
        <f>K5+K6-K7-K8-K9-K10+K11</f>
        <v>149524.99288159498</v>
      </c>
      <c r="L12" s="257">
        <f>K12/K12</f>
        <v>1</v>
      </c>
      <c r="M12" s="56">
        <f>M5+M6-M7-M8-M9-M10+M11</f>
        <v>212024.36969953496</v>
      </c>
      <c r="N12" s="257">
        <f>M12/M12</f>
        <v>1</v>
      </c>
      <c r="O12" s="56">
        <f>O5+O6-O7-O8-O9-O10+O11</f>
        <v>134234.859185218</v>
      </c>
      <c r="P12" s="257">
        <f>O12/O12</f>
        <v>1</v>
      </c>
      <c r="Q12" s="56">
        <f>Q5+Q6-Q7-Q8-Q9-Q10+Q11</f>
        <v>166684.66504355401</v>
      </c>
      <c r="R12" s="257">
        <f>Q12/Q12</f>
        <v>1</v>
      </c>
      <c r="S12" s="56">
        <f>S5+S6-S7-S8-S9-S10+S11</f>
        <v>167914.67715563899</v>
      </c>
      <c r="T12" s="257">
        <f>S12/S12</f>
        <v>1</v>
      </c>
      <c r="U12" s="56">
        <f>U5+U6-U7-U8-U9-U10+U11</f>
        <v>133191.01827943101</v>
      </c>
      <c r="V12" s="71">
        <f>U12/U12</f>
        <v>1</v>
      </c>
      <c r="W12" s="56">
        <f>W5+W6-W7-W8-W9-W10+W11</f>
        <v>135514.07332990301</v>
      </c>
      <c r="X12" s="71">
        <f>W12/W12</f>
        <v>1</v>
      </c>
      <c r="Y12" s="56">
        <f>Y5+Y6-Y7-Y8-Y9-Y10+Y11</f>
        <v>204716.16191060899</v>
      </c>
      <c r="Z12" s="71">
        <f>Y12/Y12</f>
        <v>1</v>
      </c>
      <c r="AA12" s="109">
        <f>AA5+AA6-AA7-AA8-AA9-AA10+AA11</f>
        <v>1907527.29029881</v>
      </c>
      <c r="AB12" s="110">
        <f>AA12/AA12</f>
        <v>1</v>
      </c>
      <c r="AC12" s="93">
        <f>AC5+AC6-AC7-AC8-AC9-AC10+AC11</f>
        <v>158960.60752490084</v>
      </c>
      <c r="AD12" s="94">
        <f>AC12/AC12</f>
        <v>1</v>
      </c>
      <c r="AE12" s="218" t="s">
        <v>173</v>
      </c>
      <c r="AF12" s="219">
        <v>342108</v>
      </c>
      <c r="AG12" s="209" t="s">
        <v>174</v>
      </c>
      <c r="AH12" s="134"/>
      <c r="AI12" s="21">
        <f t="shared" si="2"/>
        <v>848424.9450716899</v>
      </c>
    </row>
    <row r="13" spans="1:36" s="1" customFormat="1" ht="15.75" thickTop="1">
      <c r="A13" s="1">
        <v>5151</v>
      </c>
      <c r="B13" s="1" t="s">
        <v>47</v>
      </c>
      <c r="C13" s="46"/>
      <c r="D13" s="68"/>
      <c r="E13" s="46"/>
      <c r="F13" s="68"/>
      <c r="G13" s="46"/>
      <c r="H13" s="68"/>
      <c r="I13" s="46"/>
      <c r="J13" s="68"/>
      <c r="K13" s="21"/>
      <c r="L13" s="68"/>
      <c r="M13" s="21"/>
      <c r="N13" s="68"/>
      <c r="O13" s="21"/>
      <c r="P13" s="68"/>
      <c r="Q13" s="37"/>
      <c r="R13" s="68"/>
      <c r="S13" s="37"/>
      <c r="T13" s="68"/>
      <c r="U13" s="37"/>
      <c r="V13" s="68"/>
      <c r="W13" s="37"/>
      <c r="X13" s="68"/>
      <c r="Y13" s="37"/>
      <c r="Z13" s="68"/>
      <c r="AA13" s="105">
        <f>C13+E13+G13+I13+K13+M13+O13+Q13+S13+U13+W13+Y13</f>
        <v>0</v>
      </c>
      <c r="AB13" s="107"/>
      <c r="AC13" s="89">
        <f t="shared" ref="AC13:AC14" si="16">AA13/12</f>
        <v>0</v>
      </c>
      <c r="AD13" s="91"/>
      <c r="AE13" s="213"/>
      <c r="AF13" s="54"/>
      <c r="AH13" s="289"/>
      <c r="AI13" s="21">
        <f t="shared" si="2"/>
        <v>0</v>
      </c>
    </row>
    <row r="14" spans="1:36" s="1" customFormat="1">
      <c r="A14" s="1">
        <v>5152</v>
      </c>
      <c r="B14" s="1" t="s">
        <v>48</v>
      </c>
      <c r="C14" s="46"/>
      <c r="D14" s="68"/>
      <c r="E14" s="46"/>
      <c r="F14" s="68"/>
      <c r="G14" s="46"/>
      <c r="H14" s="68"/>
      <c r="I14" s="46"/>
      <c r="J14" s="68"/>
      <c r="K14" s="21"/>
      <c r="L14" s="68"/>
      <c r="M14" s="21"/>
      <c r="N14" s="68"/>
      <c r="O14" s="21"/>
      <c r="P14" s="68"/>
      <c r="Q14" s="37"/>
      <c r="R14" s="68"/>
      <c r="S14" s="37"/>
      <c r="T14" s="68"/>
      <c r="U14" s="37"/>
      <c r="V14" s="68"/>
      <c r="W14" s="37"/>
      <c r="X14" s="68"/>
      <c r="Y14" s="37"/>
      <c r="Z14" s="68"/>
      <c r="AA14" s="105">
        <f>C14+E14+G14+I14+K14+M14+O14+Q14+S14+U14+W14+Y14</f>
        <v>0</v>
      </c>
      <c r="AB14" s="107"/>
      <c r="AC14" s="89">
        <f t="shared" si="16"/>
        <v>0</v>
      </c>
      <c r="AD14" s="91"/>
      <c r="AE14" s="213"/>
      <c r="AF14" s="54"/>
      <c r="AH14" s="289"/>
      <c r="AI14" s="21">
        <f t="shared" si="2"/>
        <v>0</v>
      </c>
    </row>
    <row r="15" spans="1:36" s="1" customFormat="1" ht="15.75" thickBot="1">
      <c r="A15" s="39">
        <v>5198</v>
      </c>
      <c r="B15" s="39" t="s">
        <v>107</v>
      </c>
      <c r="C15" s="57">
        <f>C13+C14</f>
        <v>0</v>
      </c>
      <c r="D15" s="72"/>
      <c r="E15" s="57">
        <f>E13+E14</f>
        <v>0</v>
      </c>
      <c r="F15" s="72"/>
      <c r="G15" s="57">
        <f>G13+G14</f>
        <v>0</v>
      </c>
      <c r="H15" s="72"/>
      <c r="I15" s="57">
        <f>I13+I14</f>
        <v>0</v>
      </c>
      <c r="J15" s="72"/>
      <c r="K15" s="187">
        <f>K13+K14</f>
        <v>0</v>
      </c>
      <c r="L15" s="72"/>
      <c r="M15" s="187">
        <f>M13+M14</f>
        <v>0</v>
      </c>
      <c r="N15" s="72"/>
      <c r="O15" s="187">
        <f>O13+O14</f>
        <v>0</v>
      </c>
      <c r="P15" s="72"/>
      <c r="Q15" s="40">
        <f>Q13+Q14</f>
        <v>0</v>
      </c>
      <c r="R15" s="72"/>
      <c r="S15" s="40">
        <f>S13+S14</f>
        <v>0</v>
      </c>
      <c r="T15" s="72"/>
      <c r="U15" s="40">
        <f>U13+U14</f>
        <v>0</v>
      </c>
      <c r="V15" s="72"/>
      <c r="W15" s="40">
        <f>W13+W14</f>
        <v>0</v>
      </c>
      <c r="X15" s="72"/>
      <c r="Y15" s="40">
        <f>Y13+Y14</f>
        <v>0</v>
      </c>
      <c r="Z15" s="72"/>
      <c r="AA15" s="109">
        <f>AA13+AA14</f>
        <v>0</v>
      </c>
      <c r="AB15" s="111"/>
      <c r="AC15" s="93">
        <f>AC13+AC14</f>
        <v>0</v>
      </c>
      <c r="AD15" s="95"/>
      <c r="AE15" s="213"/>
      <c r="AF15" s="54"/>
      <c r="AH15" s="289"/>
      <c r="AI15" s="21">
        <f t="shared" si="2"/>
        <v>0</v>
      </c>
    </row>
    <row r="16" spans="1:36" s="1" customFormat="1" ht="16.5" thickTop="1" thickBot="1">
      <c r="A16" s="41">
        <v>5199</v>
      </c>
      <c r="B16" s="41" t="s">
        <v>70</v>
      </c>
      <c r="C16" s="58">
        <f>C12+C15</f>
        <v>143468</v>
      </c>
      <c r="D16" s="73">
        <f>C16/C12</f>
        <v>1</v>
      </c>
      <c r="E16" s="58">
        <f>E12+E15</f>
        <v>111618</v>
      </c>
      <c r="F16" s="73">
        <f>E16/E12</f>
        <v>1</v>
      </c>
      <c r="G16" s="58">
        <f>G12+G15</f>
        <v>185150.04484604701</v>
      </c>
      <c r="H16" s="73">
        <f>G16/G12</f>
        <v>1</v>
      </c>
      <c r="I16" s="58">
        <f>I12+I15</f>
        <v>163486.42796727904</v>
      </c>
      <c r="J16" s="73">
        <f>I16/I12</f>
        <v>1</v>
      </c>
      <c r="K16" s="188">
        <f>K12+K15</f>
        <v>149524.99288159498</v>
      </c>
      <c r="L16" s="73">
        <f>K16/K12</f>
        <v>1</v>
      </c>
      <c r="M16" s="188">
        <f>M12+M15</f>
        <v>212024.36969953496</v>
      </c>
      <c r="N16" s="73">
        <f>M16/M12</f>
        <v>1</v>
      </c>
      <c r="O16" s="188">
        <f>O12+O15</f>
        <v>134234.859185218</v>
      </c>
      <c r="P16" s="73">
        <f>O16/O12</f>
        <v>1</v>
      </c>
      <c r="Q16" s="42">
        <f>Q12+Q15</f>
        <v>166684.66504355401</v>
      </c>
      <c r="R16" s="73">
        <f>Q16/Q12</f>
        <v>1</v>
      </c>
      <c r="S16" s="42">
        <f>S12+S15</f>
        <v>167914.67715563899</v>
      </c>
      <c r="T16" s="328">
        <f>S16/S12</f>
        <v>1</v>
      </c>
      <c r="U16" s="42">
        <f>U12+U15</f>
        <v>133191.01827943101</v>
      </c>
      <c r="V16" s="73">
        <f>U16/U12</f>
        <v>1</v>
      </c>
      <c r="W16" s="42">
        <f>W12+W15</f>
        <v>135514.07332990301</v>
      </c>
      <c r="X16" s="73">
        <f>W16/W12</f>
        <v>1</v>
      </c>
      <c r="Y16" s="42">
        <f>Y12+Y15</f>
        <v>204716.16191060899</v>
      </c>
      <c r="Z16" s="73">
        <f>Y16/Y12</f>
        <v>1</v>
      </c>
      <c r="AA16" s="112">
        <f>AA12+AA15</f>
        <v>1907527.29029881</v>
      </c>
      <c r="AB16" s="113">
        <f>AA16/AA12</f>
        <v>1</v>
      </c>
      <c r="AC16" s="96">
        <f>AC12+AC15</f>
        <v>158960.60752490084</v>
      </c>
      <c r="AD16" s="97">
        <f>AC16/AC12</f>
        <v>1</v>
      </c>
      <c r="AE16" s="218" t="s">
        <v>173</v>
      </c>
      <c r="AF16" s="220">
        <v>0.52810000000000001</v>
      </c>
      <c r="AG16" s="209" t="s">
        <v>175</v>
      </c>
      <c r="AH16" s="134"/>
      <c r="AI16" s="21">
        <f t="shared" si="2"/>
        <v>848424.9450716899</v>
      </c>
      <c r="AJ16" s="64"/>
    </row>
    <row r="17" spans="1:35" s="1" customFormat="1" ht="15.75" thickTop="1">
      <c r="A17" s="13">
        <v>5502</v>
      </c>
      <c r="B17" s="5" t="s">
        <v>49</v>
      </c>
      <c r="C17" s="189">
        <f>C12*50%</f>
        <v>71734</v>
      </c>
      <c r="D17" s="49">
        <f>C17/C12</f>
        <v>0.5</v>
      </c>
      <c r="E17" s="189">
        <f>E12*49%</f>
        <v>54692.82</v>
      </c>
      <c r="F17" s="49">
        <f>E17/E12</f>
        <v>0.49</v>
      </c>
      <c r="G17" s="189">
        <f>G12*52%</f>
        <v>96278.023319944448</v>
      </c>
      <c r="H17" s="49">
        <f>G17/G12</f>
        <v>0.52</v>
      </c>
      <c r="I17" s="189">
        <f>I12*53.46%</f>
        <v>87399.844391307372</v>
      </c>
      <c r="J17" s="49">
        <f>I17/I12</f>
        <v>0.53459999999999996</v>
      </c>
      <c r="K17" s="189">
        <f>K12*46.43%</f>
        <v>69424.454194924547</v>
      </c>
      <c r="L17" s="49">
        <f>K17/K12</f>
        <v>0.46429999999999999</v>
      </c>
      <c r="M17" s="189">
        <f>M12*57.54%</f>
        <v>121998.82232511241</v>
      </c>
      <c r="N17" s="49">
        <f>M17/M12</f>
        <v>0.57540000000000002</v>
      </c>
      <c r="O17" s="189">
        <f>O12*52.79%</f>
        <v>70862.582163876592</v>
      </c>
      <c r="P17" s="49">
        <f>O17/O12</f>
        <v>0.52790000000000004</v>
      </c>
      <c r="Q17" s="189">
        <f>Q12*51.66%</f>
        <v>86109.297961499993</v>
      </c>
      <c r="R17" s="49">
        <f>Q17/Q12</f>
        <v>0.51659999999999995</v>
      </c>
      <c r="S17" s="189">
        <f>S12*54.26%</f>
        <v>91110.503824649713</v>
      </c>
      <c r="T17" s="49">
        <f>S17/S12</f>
        <v>0.54259999999999997</v>
      </c>
      <c r="U17" s="189">
        <f>U12*47.12%</f>
        <v>62759.607813267889</v>
      </c>
      <c r="V17" s="49">
        <f>U17/U12</f>
        <v>0.47119999999999995</v>
      </c>
      <c r="W17" s="189">
        <f>W12*45.04%</f>
        <v>61035.538627788308</v>
      </c>
      <c r="X17" s="49">
        <f>W17/W12</f>
        <v>0.45039999999999997</v>
      </c>
      <c r="Y17" s="189">
        <f>Y12*50.28%</f>
        <v>102931.2862086542</v>
      </c>
      <c r="Z17" s="49">
        <f>Y17/Y12</f>
        <v>0.50280000000000002</v>
      </c>
      <c r="AA17" s="105">
        <f>C17+E17+G17+I17+K17+M17+O17+Q17+S17+U17+W17+Y17</f>
        <v>976336.78083102545</v>
      </c>
      <c r="AB17" s="108">
        <f>AA17/AA12</f>
        <v>0.51183371572004321</v>
      </c>
      <c r="AC17" s="89">
        <f t="shared" ref="AC17:AC20" si="17">AA17/12</f>
        <v>81361.398402585459</v>
      </c>
      <c r="AD17" s="92">
        <f>AC17/AC12</f>
        <v>0.51183371572004321</v>
      </c>
      <c r="AE17" s="160"/>
      <c r="AF17" s="64"/>
      <c r="AH17" s="289"/>
      <c r="AI17" s="21">
        <f t="shared" si="2"/>
        <v>438296.32662403496</v>
      </c>
    </row>
    <row r="18" spans="1:35" s="1" customFormat="1">
      <c r="A18" s="3">
        <v>5503</v>
      </c>
      <c r="B18" s="3" t="s">
        <v>50</v>
      </c>
      <c r="C18" s="46"/>
      <c r="D18" s="68"/>
      <c r="E18" s="46"/>
      <c r="F18" s="68"/>
      <c r="G18" s="46"/>
      <c r="H18" s="68"/>
      <c r="I18" s="46"/>
      <c r="J18" s="68"/>
      <c r="K18" s="21"/>
      <c r="L18" s="68"/>
      <c r="M18" s="21"/>
      <c r="N18" s="68"/>
      <c r="O18" s="21"/>
      <c r="P18" s="68"/>
      <c r="Q18" s="37"/>
      <c r="R18" s="68"/>
      <c r="S18" s="37"/>
      <c r="T18" s="68">
        <v>0</v>
      </c>
      <c r="U18" s="37"/>
      <c r="V18" s="68"/>
      <c r="W18" s="37"/>
      <c r="X18" s="68"/>
      <c r="Y18" s="37"/>
      <c r="Z18" s="68"/>
      <c r="AA18" s="105">
        <f>C18+E18+G18+I18+K18+M18+O18+Q18+S18+U18+W18+Y18</f>
        <v>0</v>
      </c>
      <c r="AB18" s="107"/>
      <c r="AC18" s="89">
        <f t="shared" si="17"/>
        <v>0</v>
      </c>
      <c r="AD18" s="91"/>
      <c r="AE18" s="213"/>
      <c r="AF18" s="54"/>
      <c r="AH18" s="289"/>
      <c r="AI18" s="21">
        <f t="shared" si="2"/>
        <v>0</v>
      </c>
    </row>
    <row r="19" spans="1:35" s="1" customFormat="1">
      <c r="A19" s="3">
        <v>5504</v>
      </c>
      <c r="B19" s="3" t="s">
        <v>51</v>
      </c>
      <c r="C19" s="46"/>
      <c r="D19" s="49">
        <f>C19/C12</f>
        <v>0</v>
      </c>
      <c r="E19" s="46"/>
      <c r="F19" s="49">
        <f>E19/E12</f>
        <v>0</v>
      </c>
      <c r="G19" s="289"/>
      <c r="H19" s="49">
        <f>G19/G12</f>
        <v>0</v>
      </c>
      <c r="I19" s="46"/>
      <c r="J19" s="49">
        <f>I19/I12</f>
        <v>0</v>
      </c>
      <c r="K19" s="21"/>
      <c r="L19" s="49">
        <f>K19/K12</f>
        <v>0</v>
      </c>
      <c r="M19" s="21"/>
      <c r="N19" s="49">
        <f>M19/M12</f>
        <v>0</v>
      </c>
      <c r="O19" s="21"/>
      <c r="P19" s="49">
        <f>O19/O12</f>
        <v>0</v>
      </c>
      <c r="Q19" s="37"/>
      <c r="R19" s="49">
        <f>Q19/Q12</f>
        <v>0</v>
      </c>
      <c r="S19" s="37"/>
      <c r="T19" s="49">
        <f>S19/S12</f>
        <v>0</v>
      </c>
      <c r="U19" s="37"/>
      <c r="V19" s="49">
        <f>U19/U12</f>
        <v>0</v>
      </c>
      <c r="W19" s="37"/>
      <c r="X19" s="49">
        <f>W19/W12</f>
        <v>0</v>
      </c>
      <c r="Y19" s="37"/>
      <c r="Z19" s="49">
        <f>Y19/Y12</f>
        <v>0</v>
      </c>
      <c r="AA19" s="105">
        <f>C19+E19+G19+I19+K19+M19+O19+Q19+S19+U19+W19+Y19</f>
        <v>0</v>
      </c>
      <c r="AB19" s="108">
        <f>AA19/AA12</f>
        <v>0</v>
      </c>
      <c r="AC19" s="89">
        <f t="shared" si="17"/>
        <v>0</v>
      </c>
      <c r="AD19" s="92">
        <f>AC19/AC12</f>
        <v>0</v>
      </c>
      <c r="AE19" s="214"/>
      <c r="AF19" s="54"/>
      <c r="AH19" s="289"/>
      <c r="AI19" s="21">
        <f t="shared" si="2"/>
        <v>0</v>
      </c>
    </row>
    <row r="20" spans="1:35" s="1" customFormat="1">
      <c r="A20" s="3">
        <v>5505</v>
      </c>
      <c r="B20" s="3" t="s">
        <v>52</v>
      </c>
      <c r="C20" s="46"/>
      <c r="D20" s="68"/>
      <c r="E20" s="46"/>
      <c r="F20" s="68"/>
      <c r="G20" s="46"/>
      <c r="H20" s="68"/>
      <c r="I20" s="46"/>
      <c r="J20" s="68"/>
      <c r="K20" s="21"/>
      <c r="L20" s="68"/>
      <c r="M20" s="21"/>
      <c r="N20" s="68"/>
      <c r="O20" s="21"/>
      <c r="P20" s="68"/>
      <c r="Q20" s="37"/>
      <c r="R20" s="68"/>
      <c r="S20" s="37"/>
      <c r="T20" s="68"/>
      <c r="U20" s="37"/>
      <c r="V20" s="68"/>
      <c r="W20" s="37"/>
      <c r="X20" s="68"/>
      <c r="Y20" s="37"/>
      <c r="Z20" s="68"/>
      <c r="AA20" s="105">
        <f>C20+E20+G20+I20+K20+M20+O20+Q20+S20+U20+W20+Y20</f>
        <v>0</v>
      </c>
      <c r="AB20" s="107"/>
      <c r="AC20" s="89">
        <f t="shared" si="17"/>
        <v>0</v>
      </c>
      <c r="AD20" s="91"/>
      <c r="AE20" s="213"/>
      <c r="AF20" s="54"/>
      <c r="AH20" s="289"/>
      <c r="AI20" s="21">
        <f t="shared" si="2"/>
        <v>0</v>
      </c>
    </row>
    <row r="21" spans="1:35" s="1" customFormat="1" ht="15.75" thickBot="1">
      <c r="A21" s="8">
        <v>5599</v>
      </c>
      <c r="B21" s="8" t="s">
        <v>108</v>
      </c>
      <c r="C21" s="56">
        <f>SUM(C17:C20)</f>
        <v>71734</v>
      </c>
      <c r="D21" s="71">
        <f>C21/C12</f>
        <v>0.5</v>
      </c>
      <c r="E21" s="56">
        <f>SUM(E17:E20)</f>
        <v>54692.82</v>
      </c>
      <c r="F21" s="71">
        <f>E21/E12</f>
        <v>0.49</v>
      </c>
      <c r="G21" s="56">
        <f>SUM(G17:G20)</f>
        <v>96278.023319944448</v>
      </c>
      <c r="H21" s="71">
        <f>G21/G12</f>
        <v>0.52</v>
      </c>
      <c r="I21" s="56">
        <f>SUM(I17:I20)</f>
        <v>87399.844391307372</v>
      </c>
      <c r="J21" s="71">
        <f>I21/I12</f>
        <v>0.53459999999999996</v>
      </c>
      <c r="K21" s="22">
        <f>SUM(K17:K20)</f>
        <v>69424.454194924547</v>
      </c>
      <c r="L21" s="71">
        <f>K21/K12</f>
        <v>0.46429999999999999</v>
      </c>
      <c r="M21" s="22">
        <f>SUM(M17:M20)</f>
        <v>121998.82232511241</v>
      </c>
      <c r="N21" s="71">
        <f>M21/M12</f>
        <v>0.57540000000000002</v>
      </c>
      <c r="O21" s="22">
        <f>SUM(O17:O20)</f>
        <v>70862.582163876592</v>
      </c>
      <c r="P21" s="71">
        <f>O21/O12</f>
        <v>0.52790000000000004</v>
      </c>
      <c r="Q21" s="56">
        <f>SUM(Q17:Q20)</f>
        <v>86109.297961499993</v>
      </c>
      <c r="R21" s="71">
        <f>Q21/Q12</f>
        <v>0.51659999999999995</v>
      </c>
      <c r="S21" s="38">
        <f>SUM(S17:S20)</f>
        <v>91110.503824649713</v>
      </c>
      <c r="T21" s="71">
        <f>S21/S12</f>
        <v>0.54259999999999997</v>
      </c>
      <c r="U21" s="38">
        <f>SUM(U17:U20)</f>
        <v>62759.607813267889</v>
      </c>
      <c r="V21" s="71">
        <f>U21/U12</f>
        <v>0.47119999999999995</v>
      </c>
      <c r="W21" s="38">
        <f>SUM(W17:W20)</f>
        <v>61035.538627788308</v>
      </c>
      <c r="X21" s="71">
        <f>W21/W12</f>
        <v>0.45039999999999997</v>
      </c>
      <c r="Y21" s="38">
        <f>SUM(Y17:Y20)</f>
        <v>102931.2862086542</v>
      </c>
      <c r="Z21" s="71">
        <f>Y21/Y12</f>
        <v>0.50280000000000002</v>
      </c>
      <c r="AA21" s="109">
        <f>SUM(AA17:AA20)</f>
        <v>976336.78083102545</v>
      </c>
      <c r="AB21" s="110">
        <f>AA21/AA12</f>
        <v>0.51183371572004321</v>
      </c>
      <c r="AC21" s="93">
        <f>SUM(AC17:AC20)</f>
        <v>81361.398402585459</v>
      </c>
      <c r="AD21" s="94">
        <f>AC21/AC12</f>
        <v>0.51183371572004321</v>
      </c>
      <c r="AE21" s="218"/>
      <c r="AF21" s="219"/>
      <c r="AG21" s="209"/>
      <c r="AH21" s="134"/>
      <c r="AI21" s="21">
        <f t="shared" si="2"/>
        <v>438296.32662403496</v>
      </c>
    </row>
    <row r="22" spans="1:35" s="1" customFormat="1" ht="15.75" thickTop="1">
      <c r="A22" s="3">
        <v>5601</v>
      </c>
      <c r="B22" s="3" t="s">
        <v>53</v>
      </c>
      <c r="C22" s="46"/>
      <c r="D22" s="49">
        <f t="shared" ref="D22:D34" si="18">C22/C$12</f>
        <v>0</v>
      </c>
      <c r="E22" s="46"/>
      <c r="F22" s="49">
        <f t="shared" ref="F22:F35" si="19">E22/E$12</f>
        <v>0</v>
      </c>
      <c r="G22" s="46"/>
      <c r="H22" s="49">
        <f t="shared" ref="H22:H34" si="20">G22/G$12</f>
        <v>0</v>
      </c>
      <c r="I22" s="46"/>
      <c r="J22" s="49">
        <f t="shared" ref="J22:J34" si="21">I22/I$12</f>
        <v>0</v>
      </c>
      <c r="K22" s="46"/>
      <c r="L22" s="49">
        <f t="shared" ref="L22:L34" si="22">K22/K$12</f>
        <v>0</v>
      </c>
      <c r="M22" s="46"/>
      <c r="N22" s="49">
        <f t="shared" ref="N22:N34" si="23">M22/M$12</f>
        <v>0</v>
      </c>
      <c r="O22" s="46"/>
      <c r="P22" s="49">
        <f t="shared" ref="P22:P34" si="24">O22/O$12</f>
        <v>0</v>
      </c>
      <c r="Q22" s="46"/>
      <c r="R22" s="49">
        <f>Q22/Q$12</f>
        <v>0</v>
      </c>
      <c r="S22" s="46"/>
      <c r="T22" s="49">
        <f t="shared" ref="T22:T34" si="25">S22/S$12</f>
        <v>0</v>
      </c>
      <c r="U22" s="46"/>
      <c r="V22" s="49">
        <f t="shared" ref="V22:V34" si="26">U22/U$12</f>
        <v>0</v>
      </c>
      <c r="W22" s="46"/>
      <c r="X22" s="49">
        <f>W22/W$12</f>
        <v>0</v>
      </c>
      <c r="Y22" s="46"/>
      <c r="Z22" s="49">
        <f t="shared" ref="Z22:Z34" si="27">Y22/Y$12</f>
        <v>0</v>
      </c>
      <c r="AA22" s="105">
        <f t="shared" ref="AA22:AA34" si="28">C22+E22+G22+I22+K22+M22+O22+Q22+S22+U22+W22+Y22</f>
        <v>0</v>
      </c>
      <c r="AB22" s="108">
        <f t="shared" ref="AB22:AB34" si="29">AA22/AA$12</f>
        <v>0</v>
      </c>
      <c r="AC22" s="89">
        <f t="shared" ref="AC22:AC34" si="30">AA22/12</f>
        <v>0</v>
      </c>
      <c r="AD22" s="92">
        <f t="shared" ref="AD22:AD34" si="31">AC22/AC$12</f>
        <v>0</v>
      </c>
      <c r="AE22" s="214"/>
      <c r="AF22" s="54"/>
      <c r="AH22" s="289"/>
      <c r="AI22" s="21">
        <f t="shared" si="2"/>
        <v>0</v>
      </c>
    </row>
    <row r="23" spans="1:35" s="1" customFormat="1">
      <c r="A23" s="3">
        <v>5602</v>
      </c>
      <c r="B23" s="3" t="s">
        <v>54</v>
      </c>
      <c r="C23" s="46"/>
      <c r="D23" s="49">
        <f t="shared" si="18"/>
        <v>0</v>
      </c>
      <c r="E23" s="46"/>
      <c r="F23" s="49">
        <f t="shared" si="19"/>
        <v>0</v>
      </c>
      <c r="G23" s="46"/>
      <c r="H23" s="49">
        <f t="shared" si="20"/>
        <v>0</v>
      </c>
      <c r="I23" s="46"/>
      <c r="J23" s="49">
        <f t="shared" si="21"/>
        <v>0</v>
      </c>
      <c r="K23" s="46"/>
      <c r="L23" s="49">
        <f t="shared" si="22"/>
        <v>0</v>
      </c>
      <c r="M23" s="46"/>
      <c r="N23" s="49">
        <f t="shared" si="23"/>
        <v>0</v>
      </c>
      <c r="O23" s="46"/>
      <c r="P23" s="49">
        <f t="shared" si="24"/>
        <v>0</v>
      </c>
      <c r="Q23" s="46"/>
      <c r="R23" s="49">
        <f>Q23/Q$12</f>
        <v>0</v>
      </c>
      <c r="S23" s="46"/>
      <c r="T23" s="49">
        <f t="shared" si="25"/>
        <v>0</v>
      </c>
      <c r="U23" s="46"/>
      <c r="V23" s="49">
        <f t="shared" si="26"/>
        <v>0</v>
      </c>
      <c r="W23" s="46"/>
      <c r="X23" s="49">
        <f>W23/W$12</f>
        <v>0</v>
      </c>
      <c r="Y23" s="46"/>
      <c r="Z23" s="49">
        <f t="shared" si="27"/>
        <v>0</v>
      </c>
      <c r="AA23" s="105">
        <f t="shared" si="28"/>
        <v>0</v>
      </c>
      <c r="AB23" s="108">
        <f t="shared" si="29"/>
        <v>0</v>
      </c>
      <c r="AC23" s="89">
        <f t="shared" si="30"/>
        <v>0</v>
      </c>
      <c r="AD23" s="92">
        <f t="shared" si="31"/>
        <v>0</v>
      </c>
      <c r="AE23" s="214"/>
      <c r="AF23" s="54"/>
      <c r="AH23" s="289"/>
      <c r="AI23" s="21">
        <f t="shared" si="2"/>
        <v>0</v>
      </c>
    </row>
    <row r="24" spans="1:35" s="1" customFormat="1">
      <c r="A24" s="3">
        <v>5603</v>
      </c>
      <c r="B24" s="3" t="s">
        <v>55</v>
      </c>
      <c r="C24" s="46"/>
      <c r="D24" s="49">
        <f t="shared" si="18"/>
        <v>0</v>
      </c>
      <c r="E24" s="46"/>
      <c r="F24" s="49">
        <f t="shared" si="19"/>
        <v>0</v>
      </c>
      <c r="G24" s="46"/>
      <c r="H24" s="49">
        <f t="shared" si="20"/>
        <v>0</v>
      </c>
      <c r="I24" s="46"/>
      <c r="J24" s="49">
        <f t="shared" si="21"/>
        <v>0</v>
      </c>
      <c r="K24" s="46"/>
      <c r="L24" s="49">
        <f t="shared" si="22"/>
        <v>0</v>
      </c>
      <c r="M24" s="46"/>
      <c r="N24" s="49">
        <f t="shared" si="23"/>
        <v>0</v>
      </c>
      <c r="O24" s="46">
        <v>0</v>
      </c>
      <c r="P24" s="49">
        <f t="shared" si="24"/>
        <v>0</v>
      </c>
      <c r="Q24" s="46"/>
      <c r="R24" s="49">
        <f>Q24/Q$12</f>
        <v>0</v>
      </c>
      <c r="S24" s="46"/>
      <c r="T24" s="49">
        <f t="shared" si="25"/>
        <v>0</v>
      </c>
      <c r="U24" s="46"/>
      <c r="V24" s="49">
        <f t="shared" si="26"/>
        <v>0</v>
      </c>
      <c r="W24" s="46"/>
      <c r="X24" s="49">
        <f>W24/W$12</f>
        <v>0</v>
      </c>
      <c r="Y24" s="46"/>
      <c r="Z24" s="49">
        <f t="shared" si="27"/>
        <v>0</v>
      </c>
      <c r="AA24" s="105">
        <f t="shared" si="28"/>
        <v>0</v>
      </c>
      <c r="AB24" s="108">
        <f t="shared" si="29"/>
        <v>0</v>
      </c>
      <c r="AC24" s="89">
        <f t="shared" si="30"/>
        <v>0</v>
      </c>
      <c r="AD24" s="92">
        <f t="shared" si="31"/>
        <v>0</v>
      </c>
      <c r="AE24" s="214"/>
      <c r="AF24" s="54"/>
      <c r="AH24" s="289"/>
      <c r="AI24" s="21">
        <f t="shared" si="2"/>
        <v>0</v>
      </c>
    </row>
    <row r="25" spans="1:35" s="1" customFormat="1">
      <c r="A25" s="3">
        <v>5604</v>
      </c>
      <c r="B25" s="3" t="s">
        <v>56</v>
      </c>
      <c r="C25" s="46">
        <v>360</v>
      </c>
      <c r="D25" s="49">
        <f t="shared" si="18"/>
        <v>2.5092703599408927E-3</v>
      </c>
      <c r="E25" s="46">
        <v>360</v>
      </c>
      <c r="F25" s="49">
        <f t="shared" si="19"/>
        <v>3.2252862441541686E-3</v>
      </c>
      <c r="G25" s="46">
        <v>360</v>
      </c>
      <c r="H25" s="49">
        <f t="shared" si="20"/>
        <v>1.9443689592370417E-3</v>
      </c>
      <c r="I25" s="46">
        <v>360</v>
      </c>
      <c r="J25" s="49">
        <f t="shared" si="21"/>
        <v>2.2020176504929947E-3</v>
      </c>
      <c r="K25" s="46">
        <v>360</v>
      </c>
      <c r="L25" s="49">
        <f t="shared" si="22"/>
        <v>2.4076242577391379E-3</v>
      </c>
      <c r="M25" s="46">
        <v>360</v>
      </c>
      <c r="N25" s="49">
        <f t="shared" si="23"/>
        <v>1.6979180294706925E-3</v>
      </c>
      <c r="O25" s="46">
        <v>360</v>
      </c>
      <c r="P25" s="49">
        <f t="shared" si="24"/>
        <v>2.6818667087307778E-3</v>
      </c>
      <c r="Q25" s="46">
        <v>360</v>
      </c>
      <c r="R25" s="49">
        <f>Q25/Q$12</f>
        <v>2.1597667662225165E-3</v>
      </c>
      <c r="S25" s="46">
        <v>360</v>
      </c>
      <c r="T25" s="49">
        <f t="shared" si="25"/>
        <v>2.1439459974443948E-3</v>
      </c>
      <c r="U25" s="46">
        <v>360</v>
      </c>
      <c r="V25" s="49">
        <f t="shared" si="26"/>
        <v>2.7028849591398882E-3</v>
      </c>
      <c r="W25" s="46">
        <v>360</v>
      </c>
      <c r="X25" s="49">
        <f>W25/W$12</f>
        <v>2.6565506530350979E-3</v>
      </c>
      <c r="Y25" s="46">
        <v>360</v>
      </c>
      <c r="Z25" s="49">
        <f t="shared" si="27"/>
        <v>1.7585323827885996E-3</v>
      </c>
      <c r="AA25" s="105">
        <f t="shared" si="28"/>
        <v>4320</v>
      </c>
      <c r="AB25" s="108">
        <f t="shared" si="29"/>
        <v>2.2647120290076065E-3</v>
      </c>
      <c r="AC25" s="89">
        <f t="shared" si="30"/>
        <v>360</v>
      </c>
      <c r="AD25" s="92">
        <f t="shared" si="31"/>
        <v>2.2647120290076065E-3</v>
      </c>
      <c r="AE25" s="214" t="s">
        <v>177</v>
      </c>
      <c r="AF25" s="54"/>
      <c r="AG25" s="289" t="s">
        <v>259</v>
      </c>
      <c r="AH25" s="289"/>
      <c r="AI25" s="21">
        <f t="shared" si="2"/>
        <v>1832.3999999999999</v>
      </c>
    </row>
    <row r="26" spans="1:35" s="1" customFormat="1">
      <c r="A26" s="3">
        <v>5605</v>
      </c>
      <c r="B26" s="3" t="s">
        <v>14</v>
      </c>
      <c r="C26" s="46"/>
      <c r="D26" s="49">
        <f t="shared" si="18"/>
        <v>0</v>
      </c>
      <c r="E26" s="46"/>
      <c r="F26" s="49">
        <f t="shared" si="19"/>
        <v>0</v>
      </c>
      <c r="G26" s="46"/>
      <c r="H26" s="49">
        <f t="shared" si="20"/>
        <v>0</v>
      </c>
      <c r="I26" s="46"/>
      <c r="J26" s="49">
        <f t="shared" si="21"/>
        <v>0</v>
      </c>
      <c r="K26" s="46"/>
      <c r="L26" s="49">
        <f t="shared" si="22"/>
        <v>0</v>
      </c>
      <c r="M26" s="46"/>
      <c r="N26" s="49">
        <f t="shared" si="23"/>
        <v>0</v>
      </c>
      <c r="O26" s="46"/>
      <c r="P26" s="49">
        <f t="shared" si="24"/>
        <v>0</v>
      </c>
      <c r="Q26" s="46"/>
      <c r="R26" s="49">
        <f>Q26/Q$12</f>
        <v>0</v>
      </c>
      <c r="S26" s="46"/>
      <c r="T26" s="49">
        <f t="shared" si="25"/>
        <v>0</v>
      </c>
      <c r="U26" s="46"/>
      <c r="V26" s="49">
        <f t="shared" si="26"/>
        <v>0</v>
      </c>
      <c r="W26" s="46"/>
      <c r="X26" s="49">
        <f>W26/W$12</f>
        <v>0</v>
      </c>
      <c r="Y26" s="46"/>
      <c r="Z26" s="49">
        <f t="shared" si="27"/>
        <v>0</v>
      </c>
      <c r="AA26" s="105">
        <f t="shared" si="28"/>
        <v>0</v>
      </c>
      <c r="AB26" s="108">
        <f t="shared" si="29"/>
        <v>0</v>
      </c>
      <c r="AC26" s="89">
        <f t="shared" si="30"/>
        <v>0</v>
      </c>
      <c r="AD26" s="92">
        <f t="shared" si="31"/>
        <v>0</v>
      </c>
      <c r="AE26" s="214"/>
      <c r="AF26" s="54"/>
      <c r="AH26" s="289"/>
      <c r="AI26" s="21">
        <f t="shared" si="2"/>
        <v>0</v>
      </c>
    </row>
    <row r="27" spans="1:35" s="1" customFormat="1">
      <c r="A27" s="3">
        <v>5606</v>
      </c>
      <c r="B27" s="3" t="s">
        <v>77</v>
      </c>
      <c r="C27" s="46">
        <f>C16*0.36%</f>
        <v>516.48479999999995</v>
      </c>
      <c r="D27" s="49">
        <f t="shared" si="18"/>
        <v>3.5999999999999995E-3</v>
      </c>
      <c r="E27" s="46">
        <f>E16*0.36%</f>
        <v>401.82479999999998</v>
      </c>
      <c r="F27" s="49">
        <f t="shared" si="19"/>
        <v>3.5999999999999999E-3</v>
      </c>
      <c r="G27" s="46">
        <f>G16*0.36%</f>
        <v>666.54016144576917</v>
      </c>
      <c r="H27" s="49">
        <f t="shared" si="20"/>
        <v>3.5999999999999999E-3</v>
      </c>
      <c r="I27" s="46">
        <f>I16*0.36%</f>
        <v>588.5511406822045</v>
      </c>
      <c r="J27" s="49">
        <f t="shared" si="21"/>
        <v>3.5999999999999995E-3</v>
      </c>
      <c r="K27" s="46">
        <f>K16*0.36%</f>
        <v>538.28997437374187</v>
      </c>
      <c r="L27" s="49">
        <f t="shared" si="22"/>
        <v>3.5999999999999995E-3</v>
      </c>
      <c r="M27" s="46">
        <f>M16*0.36%</f>
        <v>763.28773091832579</v>
      </c>
      <c r="N27" s="49">
        <f t="shared" si="23"/>
        <v>3.5999999999999999E-3</v>
      </c>
      <c r="O27" s="46">
        <f>O16*0.36%</f>
        <v>483.24549306678477</v>
      </c>
      <c r="P27" s="49">
        <f t="shared" si="24"/>
        <v>3.5999999999999999E-3</v>
      </c>
      <c r="Q27" s="46">
        <f>Q16*0.36%</f>
        <v>600.06479415679439</v>
      </c>
      <c r="R27" s="49">
        <f>Q27/Q12</f>
        <v>3.5999999999999999E-3</v>
      </c>
      <c r="S27" s="46">
        <f>S16*0.36%</f>
        <v>604.49283776030029</v>
      </c>
      <c r="T27" s="49">
        <f t="shared" si="25"/>
        <v>3.5999999999999995E-3</v>
      </c>
      <c r="U27" s="46">
        <f>U16*0.36%</f>
        <v>479.48766580595162</v>
      </c>
      <c r="V27" s="49">
        <f t="shared" si="26"/>
        <v>3.5999999999999999E-3</v>
      </c>
      <c r="W27" s="46">
        <f>W16*0.36%</f>
        <v>487.85066398765082</v>
      </c>
      <c r="X27" s="49">
        <f>W27/W12</f>
        <v>3.5999999999999999E-3</v>
      </c>
      <c r="Y27" s="46">
        <f>Y16*0.36%</f>
        <v>736.97818287819234</v>
      </c>
      <c r="Z27" s="49">
        <f t="shared" si="27"/>
        <v>3.5999999999999999E-3</v>
      </c>
      <c r="AA27" s="105">
        <f t="shared" si="28"/>
        <v>6867.0982450757147</v>
      </c>
      <c r="AB27" s="108">
        <f t="shared" si="29"/>
        <v>3.5999999999999995E-3</v>
      </c>
      <c r="AC27" s="89">
        <f t="shared" si="30"/>
        <v>572.25818708964289</v>
      </c>
      <c r="AD27" s="92">
        <f t="shared" si="31"/>
        <v>3.599999999999999E-3</v>
      </c>
      <c r="AE27" s="214" t="s">
        <v>177</v>
      </c>
      <c r="AF27" s="54">
        <v>-1590</v>
      </c>
      <c r="AG27" s="289" t="s">
        <v>278</v>
      </c>
      <c r="AH27" s="289"/>
      <c r="AI27" s="21">
        <f t="shared" si="2"/>
        <v>3054.3298022580834</v>
      </c>
    </row>
    <row r="28" spans="1:35" s="1" customFormat="1">
      <c r="A28" s="3">
        <v>5607</v>
      </c>
      <c r="B28" s="3" t="s">
        <v>57</v>
      </c>
      <c r="C28" s="46"/>
      <c r="D28" s="49">
        <f t="shared" si="18"/>
        <v>0</v>
      </c>
      <c r="E28" s="46"/>
      <c r="F28" s="49">
        <f t="shared" si="19"/>
        <v>0</v>
      </c>
      <c r="G28" s="46"/>
      <c r="H28" s="49">
        <f t="shared" si="20"/>
        <v>0</v>
      </c>
      <c r="I28" s="46"/>
      <c r="J28" s="49">
        <f t="shared" si="21"/>
        <v>0</v>
      </c>
      <c r="K28" s="46"/>
      <c r="L28" s="49">
        <f t="shared" si="22"/>
        <v>0</v>
      </c>
      <c r="M28" s="46"/>
      <c r="N28" s="49">
        <f t="shared" si="23"/>
        <v>0</v>
      </c>
      <c r="O28" s="46"/>
      <c r="P28" s="49">
        <f t="shared" si="24"/>
        <v>0</v>
      </c>
      <c r="Q28" s="46"/>
      <c r="R28" s="49">
        <f t="shared" ref="R28:R34" si="32">Q28/Q$12</f>
        <v>0</v>
      </c>
      <c r="S28" s="46"/>
      <c r="T28" s="49">
        <f t="shared" si="25"/>
        <v>0</v>
      </c>
      <c r="U28" s="46"/>
      <c r="V28" s="49">
        <f t="shared" si="26"/>
        <v>0</v>
      </c>
      <c r="W28" s="46"/>
      <c r="X28" s="49">
        <f t="shared" ref="X28:X34" si="33">W28/W$12</f>
        <v>0</v>
      </c>
      <c r="Y28" s="46"/>
      <c r="Z28" s="49">
        <f t="shared" si="27"/>
        <v>0</v>
      </c>
      <c r="AA28" s="105">
        <f t="shared" si="28"/>
        <v>0</v>
      </c>
      <c r="AB28" s="108">
        <f t="shared" si="29"/>
        <v>0</v>
      </c>
      <c r="AC28" s="89">
        <f t="shared" si="30"/>
        <v>0</v>
      </c>
      <c r="AD28" s="92">
        <f t="shared" si="31"/>
        <v>0</v>
      </c>
      <c r="AE28" s="214"/>
      <c r="AF28" s="54"/>
      <c r="AH28" s="289"/>
      <c r="AI28" s="21">
        <f t="shared" si="2"/>
        <v>0</v>
      </c>
    </row>
    <row r="29" spans="1:35" s="1" customFormat="1">
      <c r="A29" s="3">
        <v>5608</v>
      </c>
      <c r="B29" s="3" t="s">
        <v>58</v>
      </c>
      <c r="C29" s="46"/>
      <c r="D29" s="49">
        <f t="shared" si="18"/>
        <v>0</v>
      </c>
      <c r="E29" s="46"/>
      <c r="F29" s="49">
        <f t="shared" si="19"/>
        <v>0</v>
      </c>
      <c r="G29" s="46"/>
      <c r="H29" s="49">
        <f t="shared" si="20"/>
        <v>0</v>
      </c>
      <c r="I29" s="46"/>
      <c r="J29" s="49">
        <f t="shared" si="21"/>
        <v>0</v>
      </c>
      <c r="K29" s="46"/>
      <c r="L29" s="49">
        <f t="shared" si="22"/>
        <v>0</v>
      </c>
      <c r="M29" s="46"/>
      <c r="N29" s="49">
        <f t="shared" si="23"/>
        <v>0</v>
      </c>
      <c r="O29" s="46"/>
      <c r="P29" s="49">
        <f t="shared" si="24"/>
        <v>0</v>
      </c>
      <c r="Q29" s="46"/>
      <c r="R29" s="49">
        <f t="shared" si="32"/>
        <v>0</v>
      </c>
      <c r="S29" s="46"/>
      <c r="T29" s="49">
        <f t="shared" si="25"/>
        <v>0</v>
      </c>
      <c r="U29" s="46"/>
      <c r="V29" s="49">
        <f t="shared" si="26"/>
        <v>0</v>
      </c>
      <c r="W29" s="46"/>
      <c r="X29" s="49">
        <f t="shared" si="33"/>
        <v>0</v>
      </c>
      <c r="Y29" s="46"/>
      <c r="Z29" s="49">
        <f t="shared" si="27"/>
        <v>0</v>
      </c>
      <c r="AA29" s="105">
        <f t="shared" si="28"/>
        <v>0</v>
      </c>
      <c r="AB29" s="108">
        <f t="shared" si="29"/>
        <v>0</v>
      </c>
      <c r="AC29" s="89">
        <f t="shared" si="30"/>
        <v>0</v>
      </c>
      <c r="AD29" s="92">
        <f t="shared" si="31"/>
        <v>0</v>
      </c>
      <c r="AE29" s="214"/>
      <c r="AF29" s="54"/>
      <c r="AH29" s="289"/>
      <c r="AI29" s="21">
        <f t="shared" si="2"/>
        <v>0</v>
      </c>
    </row>
    <row r="30" spans="1:35" s="1" customFormat="1">
      <c r="A30" s="3">
        <v>5609</v>
      </c>
      <c r="B30" s="3" t="s">
        <v>59</v>
      </c>
      <c r="C30" s="46"/>
      <c r="D30" s="49">
        <f t="shared" si="18"/>
        <v>0</v>
      </c>
      <c r="E30" s="46"/>
      <c r="F30" s="49">
        <f t="shared" si="19"/>
        <v>0</v>
      </c>
      <c r="G30" s="46"/>
      <c r="H30" s="49">
        <f t="shared" si="20"/>
        <v>0</v>
      </c>
      <c r="I30" s="46"/>
      <c r="J30" s="49">
        <f t="shared" si="21"/>
        <v>0</v>
      </c>
      <c r="K30" s="46"/>
      <c r="L30" s="49">
        <f t="shared" si="22"/>
        <v>0</v>
      </c>
      <c r="M30" s="46"/>
      <c r="N30" s="49">
        <f t="shared" si="23"/>
        <v>0</v>
      </c>
      <c r="O30" s="46"/>
      <c r="P30" s="49">
        <f t="shared" si="24"/>
        <v>0</v>
      </c>
      <c r="Q30" s="46"/>
      <c r="R30" s="49">
        <f t="shared" si="32"/>
        <v>0</v>
      </c>
      <c r="S30" s="46"/>
      <c r="T30" s="49">
        <f t="shared" si="25"/>
        <v>0</v>
      </c>
      <c r="U30" s="46"/>
      <c r="V30" s="49">
        <f t="shared" si="26"/>
        <v>0</v>
      </c>
      <c r="W30" s="46"/>
      <c r="X30" s="49">
        <f t="shared" si="33"/>
        <v>0</v>
      </c>
      <c r="Y30" s="46"/>
      <c r="Z30" s="49">
        <f t="shared" si="27"/>
        <v>0</v>
      </c>
      <c r="AA30" s="105">
        <f t="shared" si="28"/>
        <v>0</v>
      </c>
      <c r="AB30" s="108">
        <f t="shared" si="29"/>
        <v>0</v>
      </c>
      <c r="AC30" s="89">
        <f t="shared" si="30"/>
        <v>0</v>
      </c>
      <c r="AD30" s="92">
        <f t="shared" si="31"/>
        <v>0</v>
      </c>
      <c r="AE30" s="214"/>
      <c r="AF30" s="54"/>
      <c r="AH30" s="289"/>
      <c r="AI30" s="21">
        <f t="shared" si="2"/>
        <v>0</v>
      </c>
    </row>
    <row r="31" spans="1:35" s="1" customFormat="1">
      <c r="A31" s="3">
        <v>5610</v>
      </c>
      <c r="B31" s="3" t="s">
        <v>60</v>
      </c>
      <c r="C31" s="46"/>
      <c r="D31" s="49">
        <f t="shared" si="18"/>
        <v>0</v>
      </c>
      <c r="E31" s="46"/>
      <c r="F31" s="49">
        <f t="shared" si="19"/>
        <v>0</v>
      </c>
      <c r="G31" s="46"/>
      <c r="H31" s="49">
        <f t="shared" si="20"/>
        <v>0</v>
      </c>
      <c r="I31" s="46"/>
      <c r="J31" s="49">
        <f t="shared" si="21"/>
        <v>0</v>
      </c>
      <c r="K31" s="46"/>
      <c r="L31" s="49">
        <f t="shared" si="22"/>
        <v>0</v>
      </c>
      <c r="M31" s="46"/>
      <c r="N31" s="49">
        <f t="shared" si="23"/>
        <v>0</v>
      </c>
      <c r="O31" s="46"/>
      <c r="P31" s="49">
        <f t="shared" si="24"/>
        <v>0</v>
      </c>
      <c r="Q31" s="46"/>
      <c r="R31" s="49">
        <f t="shared" si="32"/>
        <v>0</v>
      </c>
      <c r="S31" s="46"/>
      <c r="T31" s="49">
        <f t="shared" si="25"/>
        <v>0</v>
      </c>
      <c r="U31" s="46"/>
      <c r="V31" s="49">
        <f t="shared" si="26"/>
        <v>0</v>
      </c>
      <c r="W31" s="46"/>
      <c r="X31" s="49">
        <f t="shared" si="33"/>
        <v>0</v>
      </c>
      <c r="Y31" s="46"/>
      <c r="Z31" s="49">
        <f t="shared" si="27"/>
        <v>0</v>
      </c>
      <c r="AA31" s="105">
        <f t="shared" si="28"/>
        <v>0</v>
      </c>
      <c r="AB31" s="108">
        <f t="shared" si="29"/>
        <v>0</v>
      </c>
      <c r="AC31" s="89">
        <f t="shared" si="30"/>
        <v>0</v>
      </c>
      <c r="AD31" s="92">
        <f t="shared" si="31"/>
        <v>0</v>
      </c>
      <c r="AE31" s="214"/>
      <c r="AF31" s="54"/>
      <c r="AH31" s="289"/>
      <c r="AI31" s="21">
        <f t="shared" si="2"/>
        <v>0</v>
      </c>
    </row>
    <row r="32" spans="1:35" s="1" customFormat="1">
      <c r="A32" s="3">
        <v>5611</v>
      </c>
      <c r="B32" s="3" t="s">
        <v>109</v>
      </c>
      <c r="C32" s="46"/>
      <c r="D32" s="49">
        <f t="shared" si="18"/>
        <v>0</v>
      </c>
      <c r="E32" s="46"/>
      <c r="F32" s="49">
        <f t="shared" si="19"/>
        <v>0</v>
      </c>
      <c r="G32" s="46"/>
      <c r="H32" s="49">
        <f t="shared" si="20"/>
        <v>0</v>
      </c>
      <c r="I32" s="46"/>
      <c r="J32" s="49">
        <f t="shared" si="21"/>
        <v>0</v>
      </c>
      <c r="K32" s="46"/>
      <c r="L32" s="49">
        <f t="shared" si="22"/>
        <v>0</v>
      </c>
      <c r="M32" s="46"/>
      <c r="N32" s="49">
        <f t="shared" si="23"/>
        <v>0</v>
      </c>
      <c r="O32" s="46"/>
      <c r="P32" s="49">
        <f t="shared" si="24"/>
        <v>0</v>
      </c>
      <c r="Q32" s="46"/>
      <c r="R32" s="49">
        <f t="shared" si="32"/>
        <v>0</v>
      </c>
      <c r="S32" s="46"/>
      <c r="T32" s="49">
        <f t="shared" si="25"/>
        <v>0</v>
      </c>
      <c r="U32" s="46"/>
      <c r="V32" s="49">
        <f t="shared" si="26"/>
        <v>0</v>
      </c>
      <c r="W32" s="46"/>
      <c r="X32" s="49">
        <f t="shared" si="33"/>
        <v>0</v>
      </c>
      <c r="Y32" s="46"/>
      <c r="Z32" s="49">
        <f t="shared" si="27"/>
        <v>0</v>
      </c>
      <c r="AA32" s="105">
        <f t="shared" si="28"/>
        <v>0</v>
      </c>
      <c r="AB32" s="108">
        <f t="shared" si="29"/>
        <v>0</v>
      </c>
      <c r="AC32" s="89">
        <f t="shared" si="30"/>
        <v>0</v>
      </c>
      <c r="AD32" s="92">
        <f t="shared" si="31"/>
        <v>0</v>
      </c>
      <c r="AE32" s="214"/>
      <c r="AF32" s="54"/>
      <c r="AH32" s="289"/>
      <c r="AI32" s="21">
        <f t="shared" si="2"/>
        <v>0</v>
      </c>
    </row>
    <row r="33" spans="1:36" s="1" customFormat="1">
      <c r="A33" s="3">
        <v>5612</v>
      </c>
      <c r="B33" s="3" t="s">
        <v>61</v>
      </c>
      <c r="C33" s="46"/>
      <c r="D33" s="49">
        <f t="shared" si="18"/>
        <v>0</v>
      </c>
      <c r="E33" s="46"/>
      <c r="F33" s="49">
        <f t="shared" si="19"/>
        <v>0</v>
      </c>
      <c r="G33" s="46"/>
      <c r="H33" s="49">
        <f t="shared" si="20"/>
        <v>0</v>
      </c>
      <c r="I33" s="46"/>
      <c r="J33" s="49">
        <f t="shared" si="21"/>
        <v>0</v>
      </c>
      <c r="K33" s="46"/>
      <c r="L33" s="49">
        <f t="shared" si="22"/>
        <v>0</v>
      </c>
      <c r="M33" s="46"/>
      <c r="N33" s="49">
        <f t="shared" si="23"/>
        <v>0</v>
      </c>
      <c r="O33" s="46"/>
      <c r="P33" s="49">
        <f t="shared" si="24"/>
        <v>0</v>
      </c>
      <c r="Q33" s="46"/>
      <c r="R33" s="49">
        <f t="shared" si="32"/>
        <v>0</v>
      </c>
      <c r="S33" s="46"/>
      <c r="T33" s="49">
        <f t="shared" si="25"/>
        <v>0</v>
      </c>
      <c r="U33" s="46"/>
      <c r="V33" s="49">
        <f t="shared" si="26"/>
        <v>0</v>
      </c>
      <c r="W33" s="46"/>
      <c r="X33" s="49">
        <f t="shared" si="33"/>
        <v>0</v>
      </c>
      <c r="Y33" s="46"/>
      <c r="Z33" s="49">
        <f t="shared" si="27"/>
        <v>0</v>
      </c>
      <c r="AA33" s="105">
        <f t="shared" si="28"/>
        <v>0</v>
      </c>
      <c r="AB33" s="108">
        <f t="shared" si="29"/>
        <v>0</v>
      </c>
      <c r="AC33" s="89">
        <f t="shared" si="30"/>
        <v>0</v>
      </c>
      <c r="AD33" s="92">
        <f t="shared" si="31"/>
        <v>0</v>
      </c>
      <c r="AE33" s="214"/>
      <c r="AF33" s="54"/>
      <c r="AH33" s="289"/>
      <c r="AI33" s="21"/>
    </row>
    <row r="34" spans="1:36" s="1" customFormat="1">
      <c r="A34" s="3">
        <v>5613</v>
      </c>
      <c r="B34" s="3" t="s">
        <v>62</v>
      </c>
      <c r="C34" s="46"/>
      <c r="D34" s="49">
        <f t="shared" si="18"/>
        <v>0</v>
      </c>
      <c r="E34" s="46"/>
      <c r="F34" s="49">
        <f t="shared" si="19"/>
        <v>0</v>
      </c>
      <c r="G34" s="46"/>
      <c r="H34" s="49">
        <f t="shared" si="20"/>
        <v>0</v>
      </c>
      <c r="I34" s="46"/>
      <c r="J34" s="49">
        <f t="shared" si="21"/>
        <v>0</v>
      </c>
      <c r="K34" s="46"/>
      <c r="L34" s="49">
        <f t="shared" si="22"/>
        <v>0</v>
      </c>
      <c r="M34" s="46"/>
      <c r="N34" s="49">
        <f t="shared" si="23"/>
        <v>0</v>
      </c>
      <c r="O34" s="46"/>
      <c r="P34" s="49">
        <f t="shared" si="24"/>
        <v>0</v>
      </c>
      <c r="Q34" s="46"/>
      <c r="R34" s="49">
        <f t="shared" si="32"/>
        <v>0</v>
      </c>
      <c r="S34" s="46"/>
      <c r="T34" s="49">
        <f t="shared" si="25"/>
        <v>0</v>
      </c>
      <c r="U34" s="46"/>
      <c r="V34" s="49">
        <f t="shared" si="26"/>
        <v>0</v>
      </c>
      <c r="W34" s="46"/>
      <c r="X34" s="49">
        <f t="shared" si="33"/>
        <v>0</v>
      </c>
      <c r="Y34" s="46"/>
      <c r="Z34" s="49">
        <f t="shared" si="27"/>
        <v>0</v>
      </c>
      <c r="AA34" s="105">
        <f t="shared" si="28"/>
        <v>0</v>
      </c>
      <c r="AB34" s="108">
        <f t="shared" si="29"/>
        <v>0</v>
      </c>
      <c r="AC34" s="89">
        <f t="shared" si="30"/>
        <v>0</v>
      </c>
      <c r="AD34" s="92">
        <f t="shared" si="31"/>
        <v>0</v>
      </c>
      <c r="AE34" s="214"/>
      <c r="AF34" s="54"/>
      <c r="AH34" s="289"/>
      <c r="AI34" s="21"/>
    </row>
    <row r="35" spans="1:36" s="1" customFormat="1">
      <c r="A35" s="9">
        <v>5699</v>
      </c>
      <c r="B35" s="9" t="s">
        <v>110</v>
      </c>
      <c r="C35" s="59">
        <f>SUM(C22:C34)</f>
        <v>876.48479999999995</v>
      </c>
      <c r="D35" s="69">
        <f>C35/C12</f>
        <v>6.1092703599408922E-3</v>
      </c>
      <c r="E35" s="59">
        <f>SUM(E22:E34)</f>
        <v>761.82479999999998</v>
      </c>
      <c r="F35" s="69">
        <f t="shared" si="19"/>
        <v>6.8252862441541681E-3</v>
      </c>
      <c r="G35" s="59">
        <f>SUM(G22:G34)</f>
        <v>1026.5401614457692</v>
      </c>
      <c r="H35" s="69">
        <f>G35/G12</f>
        <v>5.5443689592370414E-3</v>
      </c>
      <c r="I35" s="59">
        <f>SUM(I22:I34)</f>
        <v>948.5511406822045</v>
      </c>
      <c r="J35" s="69">
        <f>I35/I12</f>
        <v>5.8020176504929941E-3</v>
      </c>
      <c r="K35" s="23">
        <f>SUM(K22:K34)</f>
        <v>898.28997437374187</v>
      </c>
      <c r="L35" s="69">
        <f>K35/K12</f>
        <v>6.0076242577391378E-3</v>
      </c>
      <c r="M35" s="23">
        <f>SUM(M22:M34)</f>
        <v>1123.2877309183259</v>
      </c>
      <c r="N35" s="69">
        <f>M35/M12</f>
        <v>5.2979180294706928E-3</v>
      </c>
      <c r="O35" s="23">
        <f>SUM(O22:O34)</f>
        <v>843.24549306678477</v>
      </c>
      <c r="P35" s="69">
        <f>O35/O12</f>
        <v>6.2818667087307777E-3</v>
      </c>
      <c r="Q35" s="43">
        <f>SUM(Q22:Q34)</f>
        <v>960.06479415679439</v>
      </c>
      <c r="R35" s="69">
        <f>Q35/Q12</f>
        <v>5.7597667662225164E-3</v>
      </c>
      <c r="S35" s="43">
        <f>SUM(S22:S34)</f>
        <v>964.49283776030029</v>
      </c>
      <c r="T35" s="69">
        <f>S35/S12</f>
        <v>5.7439459974443947E-3</v>
      </c>
      <c r="U35" s="43">
        <f>SUM(U22:U34)</f>
        <v>839.48766580595156</v>
      </c>
      <c r="V35" s="69">
        <f>U35/U12</f>
        <v>6.3028849591398881E-3</v>
      </c>
      <c r="W35" s="43">
        <f>SUM(W22:W34)</f>
        <v>847.85066398765082</v>
      </c>
      <c r="X35" s="69">
        <f>W35/W12</f>
        <v>6.2565506530350978E-3</v>
      </c>
      <c r="Y35" s="43">
        <f>SUM(Y22:Y34)</f>
        <v>1096.9781828781925</v>
      </c>
      <c r="Z35" s="69">
        <f>Y35/Y12</f>
        <v>5.3585323827886003E-3</v>
      </c>
      <c r="AA35" s="114">
        <f>SUM(AA22:AA34)</f>
        <v>11187.098245075715</v>
      </c>
      <c r="AB35" s="115">
        <f>AA35/AA12</f>
        <v>5.8647120290076064E-3</v>
      </c>
      <c r="AC35" s="98">
        <f>SUM(AC22:AC34)</f>
        <v>932.25818708964289</v>
      </c>
      <c r="AD35" s="99">
        <f>AC35/AC12</f>
        <v>5.8647120290076056E-3</v>
      </c>
      <c r="AE35" s="215"/>
      <c r="AF35" s="54"/>
      <c r="AH35" s="289"/>
      <c r="AI35" s="21"/>
    </row>
    <row r="36" spans="1:36" s="1" customFormat="1">
      <c r="A36" s="9">
        <v>5999</v>
      </c>
      <c r="B36" s="9" t="s">
        <v>111</v>
      </c>
      <c r="C36" s="59">
        <f>C21+C35</f>
        <v>72610.484800000006</v>
      </c>
      <c r="D36" s="69">
        <f>C36/C12</f>
        <v>0.50610927035994091</v>
      </c>
      <c r="E36" s="59">
        <f>E21+E35</f>
        <v>55454.644800000002</v>
      </c>
      <c r="F36" s="69">
        <f>E36/E12</f>
        <v>0.49682528624415417</v>
      </c>
      <c r="G36" s="59">
        <f>G21+G35</f>
        <v>97304.563481390214</v>
      </c>
      <c r="H36" s="69">
        <f>G36/G12</f>
        <v>0.52554436895923706</v>
      </c>
      <c r="I36" s="59">
        <f>I21+I35</f>
        <v>88348.395531989576</v>
      </c>
      <c r="J36" s="69">
        <f>I36/I12</f>
        <v>0.54040201765049301</v>
      </c>
      <c r="K36" s="23">
        <f>K21+K35</f>
        <v>70322.744169298283</v>
      </c>
      <c r="L36" s="69">
        <f>K36/K12</f>
        <v>0.47030762425773909</v>
      </c>
      <c r="M36" s="23">
        <f>M21+M35</f>
        <v>123122.11005603074</v>
      </c>
      <c r="N36" s="69">
        <f>M36/M12</f>
        <v>0.58069791802947068</v>
      </c>
      <c r="O36" s="23">
        <f>O21+O35</f>
        <v>71705.82765694338</v>
      </c>
      <c r="P36" s="69">
        <f>O36/O12</f>
        <v>0.53418186670873091</v>
      </c>
      <c r="Q36" s="59">
        <f>Q21+Q35</f>
        <v>87069.362755656781</v>
      </c>
      <c r="R36" s="69">
        <f>Q36/Q12</f>
        <v>0.52235976676622242</v>
      </c>
      <c r="S36" s="43">
        <f>S21+S35</f>
        <v>92074.99666241002</v>
      </c>
      <c r="T36" s="69">
        <f>S36/S12</f>
        <v>0.5483439459974444</v>
      </c>
      <c r="U36" s="43">
        <f>U21+U35</f>
        <v>63599.09547907384</v>
      </c>
      <c r="V36" s="69">
        <f>U36/U12</f>
        <v>0.47750288495913984</v>
      </c>
      <c r="W36" s="43">
        <f>W21+W35</f>
        <v>61883.389291775959</v>
      </c>
      <c r="X36" s="69">
        <f>W36/W12</f>
        <v>0.45665655065303501</v>
      </c>
      <c r="Y36" s="43">
        <f>Y21+Y35</f>
        <v>104028.2643915324</v>
      </c>
      <c r="Z36" s="69">
        <f>Y36/Y12</f>
        <v>0.50815853238278863</v>
      </c>
      <c r="AA36" s="114">
        <f>AA21+AA35</f>
        <v>987523.87907610112</v>
      </c>
      <c r="AB36" s="115">
        <f>AA36/AA12</f>
        <v>0.51769842774905084</v>
      </c>
      <c r="AC36" s="98">
        <f>AC21+AC35</f>
        <v>82293.656589675098</v>
      </c>
      <c r="AD36" s="99">
        <f>AC36/AC12</f>
        <v>0.51769842774905084</v>
      </c>
      <c r="AE36" s="215"/>
      <c r="AF36" s="54"/>
      <c r="AH36" s="352"/>
      <c r="AI36" s="21"/>
      <c r="AJ36" s="64"/>
    </row>
    <row r="37" spans="1:36" s="1" customFormat="1" ht="15.75" thickBot="1">
      <c r="A37" s="10"/>
      <c r="B37" s="10" t="s">
        <v>68</v>
      </c>
      <c r="C37" s="60">
        <f>(C16-C36)</f>
        <v>70857.515199999994</v>
      </c>
      <c r="D37" s="84">
        <f>C37/C12</f>
        <v>0.49389072964005909</v>
      </c>
      <c r="E37" s="60">
        <f>(E16-E36)</f>
        <v>56163.355199999998</v>
      </c>
      <c r="F37" s="70">
        <f>E37/E12</f>
        <v>0.50317471375584577</v>
      </c>
      <c r="G37" s="60">
        <f>(G16-G36)</f>
        <v>87845.481364656793</v>
      </c>
      <c r="H37" s="84">
        <f>G37/G12</f>
        <v>0.47445563104076294</v>
      </c>
      <c r="I37" s="60">
        <f>(I16-I36)</f>
        <v>75138.032435289468</v>
      </c>
      <c r="J37" s="70">
        <f>I37/I12</f>
        <v>0.45959798234950705</v>
      </c>
      <c r="K37" s="24">
        <f>(K16-K36)</f>
        <v>79202.2487122967</v>
      </c>
      <c r="L37" s="70">
        <f>K37/K12</f>
        <v>0.52969237574226091</v>
      </c>
      <c r="M37" s="24">
        <f>(M16-M36)</f>
        <v>88902.259643504221</v>
      </c>
      <c r="N37" s="70">
        <f>M37/M12</f>
        <v>0.41930208197052932</v>
      </c>
      <c r="O37" s="24">
        <f>(O16-O36)</f>
        <v>62529.031528274616</v>
      </c>
      <c r="P37" s="70">
        <f>O37/O12</f>
        <v>0.46581813329126909</v>
      </c>
      <c r="Q37" s="60">
        <f>(Q16-Q36)</f>
        <v>79615.302287897226</v>
      </c>
      <c r="R37" s="84">
        <f>Q37/Q12</f>
        <v>0.47764023323377758</v>
      </c>
      <c r="S37" s="60">
        <f>(S16-S36)</f>
        <v>75839.680493228967</v>
      </c>
      <c r="T37" s="70">
        <f>S37/S12</f>
        <v>0.4516560540025556</v>
      </c>
      <c r="U37" s="60">
        <f>(U16-U36)</f>
        <v>69591.922800357162</v>
      </c>
      <c r="V37" s="70">
        <f>U37/U12</f>
        <v>0.52249711504086005</v>
      </c>
      <c r="W37" s="44">
        <f>(W16-W36)</f>
        <v>73630.684038127045</v>
      </c>
      <c r="X37" s="84">
        <f>W37/W12</f>
        <v>0.54334344934696488</v>
      </c>
      <c r="Y37" s="44">
        <f>(Y16-Y36)</f>
        <v>100687.89751907659</v>
      </c>
      <c r="Z37" s="70">
        <f>Y37/Y12</f>
        <v>0.49184146761721137</v>
      </c>
      <c r="AA37" s="109">
        <f>(AA16-AA36)</f>
        <v>920003.41122270888</v>
      </c>
      <c r="AB37" s="110">
        <f>AA37/AA12</f>
        <v>0.48230157225094922</v>
      </c>
      <c r="AC37" s="93">
        <f>(AC16-AC36)</f>
        <v>76666.950935225745</v>
      </c>
      <c r="AD37" s="94">
        <f>AC37/AC12</f>
        <v>0.48230157225094922</v>
      </c>
      <c r="AE37" s="223"/>
      <c r="AF37" s="219" t="s">
        <v>153</v>
      </c>
      <c r="AG37" s="209" t="s">
        <v>154</v>
      </c>
      <c r="AH37" s="135"/>
      <c r="AI37" s="21"/>
      <c r="AJ37" s="64"/>
    </row>
    <row r="38" spans="1:36" s="1" customFormat="1" ht="15.75" thickTop="1">
      <c r="A38" s="2">
        <v>6002</v>
      </c>
      <c r="B38" s="2" t="s">
        <v>45</v>
      </c>
      <c r="C38" s="46"/>
      <c r="D38" s="49">
        <f t="shared" ref="D38:D50" si="34">C38/C$12</f>
        <v>0</v>
      </c>
      <c r="E38" s="46"/>
      <c r="F38" s="49">
        <f t="shared" ref="F38:F50" si="35">E38/E$12</f>
        <v>0</v>
      </c>
      <c r="G38" s="46"/>
      <c r="H38" s="49">
        <f t="shared" ref="H38:H50" si="36">G38/G$12</f>
        <v>0</v>
      </c>
      <c r="I38" s="46"/>
      <c r="J38" s="49">
        <f t="shared" ref="J38:J50" si="37">I38/I$12</f>
        <v>0</v>
      </c>
      <c r="K38" s="21"/>
      <c r="L38" s="49">
        <f t="shared" ref="L38:L50" si="38">K38/K$12</f>
        <v>0</v>
      </c>
      <c r="M38" s="21"/>
      <c r="N38" s="49">
        <f t="shared" ref="N38:N50" si="39">M38/M$12</f>
        <v>0</v>
      </c>
      <c r="O38" s="21"/>
      <c r="P38" s="49">
        <f>O38/O12</f>
        <v>0</v>
      </c>
      <c r="Q38" s="37"/>
      <c r="R38" s="49">
        <f t="shared" ref="R38:R50" si="40">Q38/Q$12</f>
        <v>0</v>
      </c>
      <c r="S38" s="37">
        <v>0</v>
      </c>
      <c r="T38" s="49">
        <f t="shared" ref="T38:T50" si="41">S38/S$12</f>
        <v>0</v>
      </c>
      <c r="U38" s="37"/>
      <c r="V38" s="49">
        <f>U38/U12</f>
        <v>0</v>
      </c>
      <c r="W38" s="37"/>
      <c r="X38" s="49">
        <f t="shared" ref="X38:X50" si="42">W38/W$12</f>
        <v>0</v>
      </c>
      <c r="Y38" s="37"/>
      <c r="Z38" s="49">
        <f t="shared" ref="Z38:Z50" si="43">Y38/Y$12</f>
        <v>0</v>
      </c>
      <c r="AA38" s="105">
        <f>C38+E38+G38+I38+K38+M38+O38+Q38+S38+U38+W38+Y38</f>
        <v>0</v>
      </c>
      <c r="AB38" s="108">
        <f t="shared" ref="AB38:AB68" si="44">AA38/AA$12</f>
        <v>0</v>
      </c>
      <c r="AC38" s="89">
        <f t="shared" ref="AC38:AC40" si="45">AA38/12</f>
        <v>0</v>
      </c>
      <c r="AD38" s="92">
        <f t="shared" ref="AD38:AD68" si="46">AC38/AC$12</f>
        <v>0</v>
      </c>
      <c r="AE38" s="214"/>
      <c r="AF38" s="54"/>
      <c r="AH38" s="64"/>
      <c r="AI38" s="21"/>
      <c r="AJ38" s="64"/>
    </row>
    <row r="39" spans="1:36" s="1" customFormat="1">
      <c r="A39" s="2">
        <v>6003</v>
      </c>
      <c r="B39" s="2" t="s">
        <v>0</v>
      </c>
      <c r="C39" s="46"/>
      <c r="D39" s="49">
        <f t="shared" si="34"/>
        <v>0</v>
      </c>
      <c r="E39" s="46"/>
      <c r="F39" s="49">
        <f t="shared" si="35"/>
        <v>0</v>
      </c>
      <c r="G39" s="46"/>
      <c r="H39" s="49">
        <f t="shared" si="36"/>
        <v>0</v>
      </c>
      <c r="I39" s="46"/>
      <c r="J39" s="49">
        <f t="shared" si="37"/>
        <v>0</v>
      </c>
      <c r="K39" s="21"/>
      <c r="L39" s="49">
        <f t="shared" si="38"/>
        <v>0</v>
      </c>
      <c r="M39" s="21"/>
      <c r="N39" s="49">
        <f t="shared" si="39"/>
        <v>0</v>
      </c>
      <c r="O39" s="21"/>
      <c r="P39" s="49">
        <f t="shared" ref="P39" si="47">O39/O12</f>
        <v>0</v>
      </c>
      <c r="Q39" s="37">
        <v>0</v>
      </c>
      <c r="R39" s="49">
        <f t="shared" si="40"/>
        <v>0</v>
      </c>
      <c r="S39" s="37">
        <v>0</v>
      </c>
      <c r="T39" s="49">
        <f t="shared" si="41"/>
        <v>0</v>
      </c>
      <c r="U39" s="37"/>
      <c r="V39" s="49">
        <f t="shared" ref="V39" si="48">U39/U12</f>
        <v>0</v>
      </c>
      <c r="W39" s="37">
        <v>0</v>
      </c>
      <c r="X39" s="49">
        <f t="shared" si="42"/>
        <v>0</v>
      </c>
      <c r="Y39" s="37">
        <v>0</v>
      </c>
      <c r="Z39" s="49">
        <f t="shared" si="43"/>
        <v>0</v>
      </c>
      <c r="AA39" s="105">
        <f>C39+E39+G39+I39+K39+M39+O39+Q39+S39+U39+W39+Y39</f>
        <v>0</v>
      </c>
      <c r="AB39" s="108">
        <f t="shared" si="44"/>
        <v>0</v>
      </c>
      <c r="AC39" s="89">
        <f t="shared" si="45"/>
        <v>0</v>
      </c>
      <c r="AD39" s="92">
        <f t="shared" si="46"/>
        <v>0</v>
      </c>
      <c r="AE39" s="214"/>
      <c r="AF39" s="54"/>
      <c r="AH39" s="353"/>
      <c r="AI39" s="21"/>
    </row>
    <row r="40" spans="1:36" s="1" customFormat="1">
      <c r="A40" s="2">
        <v>6004</v>
      </c>
      <c r="B40" s="2" t="s">
        <v>1</v>
      </c>
      <c r="C40" s="46"/>
      <c r="D40" s="49">
        <f t="shared" si="34"/>
        <v>0</v>
      </c>
      <c r="E40" s="46"/>
      <c r="F40" s="49">
        <f t="shared" si="35"/>
        <v>0</v>
      </c>
      <c r="G40" s="46"/>
      <c r="H40" s="49">
        <f t="shared" si="36"/>
        <v>0</v>
      </c>
      <c r="I40" s="46"/>
      <c r="J40" s="49">
        <f t="shared" si="37"/>
        <v>0</v>
      </c>
      <c r="K40" s="21"/>
      <c r="L40" s="49">
        <f t="shared" si="38"/>
        <v>0</v>
      </c>
      <c r="M40" s="21"/>
      <c r="N40" s="49">
        <f t="shared" si="39"/>
        <v>0</v>
      </c>
      <c r="O40" s="21"/>
      <c r="P40" s="49">
        <f>O40/O16</f>
        <v>0</v>
      </c>
      <c r="Q40" s="37"/>
      <c r="R40" s="49">
        <f t="shared" si="40"/>
        <v>0</v>
      </c>
      <c r="S40" s="37">
        <v>0</v>
      </c>
      <c r="T40" s="49">
        <f t="shared" si="41"/>
        <v>0</v>
      </c>
      <c r="U40" s="37"/>
      <c r="V40" s="49">
        <f>U40/U16</f>
        <v>0</v>
      </c>
      <c r="W40" s="37"/>
      <c r="X40" s="49">
        <f t="shared" si="42"/>
        <v>0</v>
      </c>
      <c r="Y40" s="37"/>
      <c r="Z40" s="49">
        <f t="shared" si="43"/>
        <v>0</v>
      </c>
      <c r="AA40" s="105">
        <f>C40+E40+G40+I40+K40+M40+O40+Q40+S40+U40+W40+Y40</f>
        <v>0</v>
      </c>
      <c r="AB40" s="108">
        <f t="shared" si="44"/>
        <v>0</v>
      </c>
      <c r="AC40" s="89">
        <f t="shared" si="45"/>
        <v>0</v>
      </c>
      <c r="AD40" s="92">
        <f t="shared" si="46"/>
        <v>0</v>
      </c>
      <c r="AE40" s="214"/>
      <c r="AF40" s="54"/>
      <c r="AH40" s="289"/>
      <c r="AI40" s="21"/>
    </row>
    <row r="41" spans="1:36" s="1" customFormat="1" ht="15.75" thickBot="1">
      <c r="A41" s="53">
        <v>6099</v>
      </c>
      <c r="B41" s="53" t="s">
        <v>112</v>
      </c>
      <c r="C41" s="174">
        <f>SUM(C38:C40)</f>
        <v>0</v>
      </c>
      <c r="D41" s="83">
        <f t="shared" si="34"/>
        <v>0</v>
      </c>
      <c r="E41" s="174">
        <f>SUM(E38:E40)</f>
        <v>0</v>
      </c>
      <c r="F41" s="83">
        <f t="shared" si="35"/>
        <v>0</v>
      </c>
      <c r="G41" s="174">
        <f>SUM(G38:G40)</f>
        <v>0</v>
      </c>
      <c r="H41" s="83">
        <f t="shared" si="36"/>
        <v>0</v>
      </c>
      <c r="I41" s="174">
        <f>SUM(I38:I40)</f>
        <v>0</v>
      </c>
      <c r="J41" s="83">
        <f t="shared" si="37"/>
        <v>0</v>
      </c>
      <c r="K41" s="51">
        <f>SUM(K38:K40)</f>
        <v>0</v>
      </c>
      <c r="L41" s="83">
        <f t="shared" si="38"/>
        <v>0</v>
      </c>
      <c r="M41" s="51">
        <f>SUM(M38:M40)</f>
        <v>0</v>
      </c>
      <c r="N41" s="83">
        <f t="shared" si="39"/>
        <v>0</v>
      </c>
      <c r="O41" s="51">
        <f>SUM(O38:O40)</f>
        <v>0</v>
      </c>
      <c r="P41" s="83">
        <f t="shared" ref="P41:P50" si="49">O41/O$12</f>
        <v>0</v>
      </c>
      <c r="Q41" s="164">
        <f>SUM(Q38:Q40)</f>
        <v>0</v>
      </c>
      <c r="R41" s="83">
        <f t="shared" si="40"/>
        <v>0</v>
      </c>
      <c r="S41" s="164">
        <f>SUM(S38:S40)</f>
        <v>0</v>
      </c>
      <c r="T41" s="83">
        <f t="shared" si="41"/>
        <v>0</v>
      </c>
      <c r="U41" s="164">
        <f>SUM(U38:U40)</f>
        <v>0</v>
      </c>
      <c r="V41" s="83">
        <f t="shared" ref="V41:V50" si="50">U41/U$12</f>
        <v>0</v>
      </c>
      <c r="W41" s="164">
        <f>SUM(W38:W40)</f>
        <v>0</v>
      </c>
      <c r="X41" s="83">
        <f t="shared" si="42"/>
        <v>0</v>
      </c>
      <c r="Y41" s="164">
        <f>SUM(Y38:Y40)</f>
        <v>0</v>
      </c>
      <c r="Z41" s="83">
        <f t="shared" si="43"/>
        <v>0</v>
      </c>
      <c r="AA41" s="109">
        <f>SUM(AA38:AA40)</f>
        <v>0</v>
      </c>
      <c r="AB41" s="163">
        <f t="shared" si="44"/>
        <v>0</v>
      </c>
      <c r="AC41" s="93">
        <f>SUM(AC38:AC40)</f>
        <v>0</v>
      </c>
      <c r="AD41" s="163">
        <f t="shared" si="46"/>
        <v>0</v>
      </c>
      <c r="AE41" s="227"/>
      <c r="AF41" s="219"/>
      <c r="AG41" s="209"/>
      <c r="AH41" s="134"/>
      <c r="AI41" s="21"/>
    </row>
    <row r="42" spans="1:36" s="1" customFormat="1" ht="15.75" thickTop="1">
      <c r="A42" s="128">
        <v>6101</v>
      </c>
      <c r="B42" s="2" t="s">
        <v>2</v>
      </c>
      <c r="C42" s="46">
        <v>16666.669999999998</v>
      </c>
      <c r="D42" s="49">
        <f t="shared" si="34"/>
        <v>0.11616994730532243</v>
      </c>
      <c r="E42" s="46">
        <v>16666.669999999998</v>
      </c>
      <c r="F42" s="49">
        <f t="shared" si="35"/>
        <v>0.14931883746349153</v>
      </c>
      <c r="G42" s="302">
        <v>16666.669999999998</v>
      </c>
      <c r="H42" s="49">
        <f t="shared" si="36"/>
        <v>9.0017099449575616E-2</v>
      </c>
      <c r="I42" s="46">
        <v>16666.669999999998</v>
      </c>
      <c r="J42" s="49">
        <f t="shared" si="37"/>
        <v>0.10194528198595021</v>
      </c>
      <c r="K42" s="46">
        <v>16666.669999999998</v>
      </c>
      <c r="L42" s="49">
        <f t="shared" si="38"/>
        <v>0.11146410829925876</v>
      </c>
      <c r="M42" s="46">
        <v>16666.669999999998</v>
      </c>
      <c r="N42" s="49">
        <f t="shared" si="39"/>
        <v>7.860733190066195E-2</v>
      </c>
      <c r="O42" s="46">
        <v>16666.669999999998</v>
      </c>
      <c r="P42" s="49">
        <f t="shared" si="49"/>
        <v>0.12416052060667218</v>
      </c>
      <c r="Q42" s="46">
        <v>16666.669999999998</v>
      </c>
      <c r="R42" s="49">
        <f t="shared" si="40"/>
        <v>9.9989222137771741E-2</v>
      </c>
      <c r="S42" s="46">
        <v>16666.669999999998</v>
      </c>
      <c r="T42" s="49">
        <f t="shared" si="41"/>
        <v>9.9256778992296027E-2</v>
      </c>
      <c r="U42" s="46">
        <v>16666.669999999998</v>
      </c>
      <c r="V42" s="49">
        <f t="shared" si="50"/>
        <v>0.12513358794985555</v>
      </c>
      <c r="W42" s="46">
        <v>16666.669999999998</v>
      </c>
      <c r="X42" s="49">
        <f t="shared" si="42"/>
        <v>0.12298848075672353</v>
      </c>
      <c r="Y42" s="46">
        <v>16666.669999999998</v>
      </c>
      <c r="Z42" s="49">
        <f t="shared" si="43"/>
        <v>8.1413552522920193E-2</v>
      </c>
      <c r="AA42" s="105">
        <f t="shared" ref="AA42:AA75" si="51">C42+E42+G42+I42+K42+M42+O42+Q42+S42+U42+W42+Y42</f>
        <v>200000.03999999992</v>
      </c>
      <c r="AB42" s="108">
        <f t="shared" si="44"/>
        <v>0.10484780009027832</v>
      </c>
      <c r="AC42" s="89">
        <f t="shared" ref="AC42:AC75" si="52">AA42/12</f>
        <v>16666.669999999995</v>
      </c>
      <c r="AD42" s="92">
        <f t="shared" si="46"/>
        <v>0.10484780009027832</v>
      </c>
      <c r="AE42" s="214" t="s">
        <v>155</v>
      </c>
      <c r="AF42" s="54"/>
      <c r="AG42" s="289" t="s">
        <v>155</v>
      </c>
      <c r="AH42" s="289"/>
      <c r="AI42" s="21">
        <f t="shared" si="2"/>
        <v>84833.350299999991</v>
      </c>
    </row>
    <row r="43" spans="1:36" s="1" customFormat="1">
      <c r="A43" s="128">
        <v>6102</v>
      </c>
      <c r="B43" s="2" t="s">
        <v>3</v>
      </c>
      <c r="C43" s="55">
        <f>7025.31*1.15</f>
        <v>8079.1064999999999</v>
      </c>
      <c r="D43" s="49">
        <f t="shared" si="34"/>
        <v>5.6312951320155014E-2</v>
      </c>
      <c r="E43" s="55">
        <f>7539.64*1.15</f>
        <v>8670.5859999999993</v>
      </c>
      <c r="F43" s="49">
        <f t="shared" si="35"/>
        <v>7.768089376265476E-2</v>
      </c>
      <c r="G43" s="355">
        <f>7133.97*1.15</f>
        <v>8204.0654999999988</v>
      </c>
      <c r="H43" s="49">
        <f t="shared" si="36"/>
        <v>4.4310361938187548E-2</v>
      </c>
      <c r="I43" s="55">
        <f>7692.16*1.15</f>
        <v>8845.9839999999986</v>
      </c>
      <c r="J43" s="49">
        <f t="shared" si="37"/>
        <v>5.4108369177718385E-2</v>
      </c>
      <c r="K43" s="25">
        <f>8283.12*1.15</f>
        <v>9525.5879999999997</v>
      </c>
      <c r="L43" s="49">
        <f t="shared" si="38"/>
        <v>6.3705657605635665E-2</v>
      </c>
      <c r="M43" s="25">
        <f>8719.19*1.15</f>
        <v>10027.068499999999</v>
      </c>
      <c r="N43" s="49">
        <f t="shared" si="39"/>
        <v>4.729205663579903E-2</v>
      </c>
      <c r="O43" s="25">
        <f>8719.19*1.15</f>
        <v>10027.068499999999</v>
      </c>
      <c r="P43" s="49">
        <f t="shared" si="49"/>
        <v>7.4697947767536257E-2</v>
      </c>
      <c r="Q43" s="55">
        <f>8955.24*1.15</f>
        <v>10298.526</v>
      </c>
      <c r="R43" s="49">
        <f t="shared" si="40"/>
        <v>6.1784483877440302E-2</v>
      </c>
      <c r="S43" s="36">
        <f>9116.86*1.15</f>
        <v>10484.388999999999</v>
      </c>
      <c r="T43" s="49">
        <f t="shared" si="41"/>
        <v>6.2438788422777891E-2</v>
      </c>
      <c r="U43" s="36">
        <f>7973.98*1.2</f>
        <v>9568.7759999999998</v>
      </c>
      <c r="V43" s="49">
        <f t="shared" si="50"/>
        <v>7.1842502021607621E-2</v>
      </c>
      <c r="W43" s="36">
        <f>7563.67*1.25</f>
        <v>9454.5874999999996</v>
      </c>
      <c r="X43" s="49">
        <f t="shared" si="42"/>
        <v>6.9768307214729097E-2</v>
      </c>
      <c r="Y43" s="36">
        <f>7184.75*1.25</f>
        <v>8980.9375</v>
      </c>
      <c r="Z43" s="49">
        <f t="shared" si="43"/>
        <v>4.3870192837640251E-2</v>
      </c>
      <c r="AA43" s="105">
        <f t="shared" si="51"/>
        <v>112166.68299999998</v>
      </c>
      <c r="AB43" s="108">
        <f t="shared" si="44"/>
        <v>5.8802138019440502E-2</v>
      </c>
      <c r="AC43" s="89">
        <f t="shared" si="52"/>
        <v>9347.2235833333307</v>
      </c>
      <c r="AD43" s="92">
        <f t="shared" si="46"/>
        <v>5.8802138019440495E-2</v>
      </c>
      <c r="AE43" s="214" t="s">
        <v>264</v>
      </c>
      <c r="AF43" s="54"/>
      <c r="AG43" s="289" t="s">
        <v>230</v>
      </c>
      <c r="AH43" s="289"/>
      <c r="AI43" s="21">
        <f t="shared" si="2"/>
        <v>52419.497339999994</v>
      </c>
    </row>
    <row r="44" spans="1:36" s="1" customFormat="1">
      <c r="A44" s="128">
        <v>6103</v>
      </c>
      <c r="B44" s="2" t="s">
        <v>4</v>
      </c>
      <c r="C44" s="46">
        <f>9.66*1.05</f>
        <v>10.143000000000001</v>
      </c>
      <c r="D44" s="49">
        <f t="shared" si="34"/>
        <v>7.0698692391334662E-5</v>
      </c>
      <c r="E44" s="46">
        <f>9.66*1.05</f>
        <v>10.143000000000001</v>
      </c>
      <c r="F44" s="49">
        <f t="shared" si="35"/>
        <v>9.0872439929043708E-5</v>
      </c>
      <c r="G44" s="289">
        <f>9.66*1.05</f>
        <v>10.143000000000001</v>
      </c>
      <c r="H44" s="49">
        <f t="shared" si="36"/>
        <v>5.4782595426503653E-5</v>
      </c>
      <c r="I44" s="46">
        <f>9.66*1.05</f>
        <v>10.143000000000001</v>
      </c>
      <c r="J44" s="49">
        <f t="shared" si="37"/>
        <v>6.204184730264013E-5</v>
      </c>
      <c r="K44" s="46">
        <f>9.66*1.05</f>
        <v>10.143000000000001</v>
      </c>
      <c r="L44" s="49">
        <f t="shared" si="38"/>
        <v>6.7834813461800213E-5</v>
      </c>
      <c r="M44" s="46">
        <f>9.66*1.05</f>
        <v>10.143000000000001</v>
      </c>
      <c r="N44" s="49">
        <f t="shared" si="39"/>
        <v>4.7838840480336761E-5</v>
      </c>
      <c r="O44" s="46">
        <f>9.66*1.05</f>
        <v>10.143000000000001</v>
      </c>
      <c r="P44" s="49">
        <f t="shared" si="49"/>
        <v>7.5561594518489672E-5</v>
      </c>
      <c r="Q44" s="46">
        <f>9.66*1.05</f>
        <v>10.143000000000001</v>
      </c>
      <c r="R44" s="49">
        <f t="shared" si="40"/>
        <v>6.0851428638319409E-5</v>
      </c>
      <c r="S44" s="46">
        <f>9.66*1.05</f>
        <v>10.143000000000001</v>
      </c>
      <c r="T44" s="49">
        <f t="shared" si="41"/>
        <v>6.0405678477995834E-5</v>
      </c>
      <c r="U44" s="46">
        <f>9.66*1.05</f>
        <v>10.143000000000001</v>
      </c>
      <c r="V44" s="49">
        <f t="shared" si="50"/>
        <v>7.6153783723766359E-5</v>
      </c>
      <c r="W44" s="46">
        <f>9.66*1.05</f>
        <v>10.143000000000001</v>
      </c>
      <c r="X44" s="49">
        <f t="shared" si="42"/>
        <v>7.4848314649263891E-5</v>
      </c>
      <c r="Y44" s="46">
        <f>9.66*1.05</f>
        <v>10.143000000000001</v>
      </c>
      <c r="Z44" s="49">
        <f t="shared" si="43"/>
        <v>4.9546649885068797E-5</v>
      </c>
      <c r="AA44" s="105">
        <f t="shared" si="51"/>
        <v>121.71600000000001</v>
      </c>
      <c r="AB44" s="108">
        <f t="shared" si="44"/>
        <v>6.3808261417289328E-5</v>
      </c>
      <c r="AC44" s="266">
        <f t="shared" si="52"/>
        <v>10.143000000000001</v>
      </c>
      <c r="AD44" s="92">
        <f t="shared" si="46"/>
        <v>6.3808261417289315E-5</v>
      </c>
      <c r="AE44" s="214" t="s">
        <v>264</v>
      </c>
      <c r="AF44" s="54">
        <v>9.9600000000000009</v>
      </c>
      <c r="AG44" s="289" t="s">
        <v>229</v>
      </c>
      <c r="AH44" s="289"/>
      <c r="AI44" s="21">
        <f t="shared" si="2"/>
        <v>51.627870000000001</v>
      </c>
    </row>
    <row r="45" spans="1:36" s="1" customFormat="1" ht="15.75">
      <c r="A45" s="128">
        <v>6104</v>
      </c>
      <c r="B45" s="2" t="s">
        <v>5</v>
      </c>
      <c r="C45" s="293">
        <v>225</v>
      </c>
      <c r="D45" s="49">
        <f t="shared" si="34"/>
        <v>1.5682939749630579E-3</v>
      </c>
      <c r="E45" s="293">
        <v>225</v>
      </c>
      <c r="F45" s="49">
        <f t="shared" si="35"/>
        <v>2.0158039025963553E-3</v>
      </c>
      <c r="G45" s="293">
        <v>225</v>
      </c>
      <c r="H45" s="49">
        <f t="shared" si="36"/>
        <v>1.215230599523151E-3</v>
      </c>
      <c r="I45" s="293">
        <v>225</v>
      </c>
      <c r="J45" s="49">
        <f t="shared" si="37"/>
        <v>1.3762610315581217E-3</v>
      </c>
      <c r="K45" s="293">
        <v>225</v>
      </c>
      <c r="L45" s="49">
        <f t="shared" si="38"/>
        <v>1.5047651610869612E-3</v>
      </c>
      <c r="M45" s="293">
        <v>225</v>
      </c>
      <c r="N45" s="49">
        <f t="shared" si="39"/>
        <v>1.0611987684191828E-3</v>
      </c>
      <c r="O45" s="293">
        <v>225</v>
      </c>
      <c r="P45" s="49">
        <f t="shared" si="49"/>
        <v>1.676166692956736E-3</v>
      </c>
      <c r="Q45" s="293">
        <v>225</v>
      </c>
      <c r="R45" s="49">
        <f t="shared" si="40"/>
        <v>1.349854228889073E-3</v>
      </c>
      <c r="S45" s="293">
        <v>225</v>
      </c>
      <c r="T45" s="49">
        <f t="shared" si="41"/>
        <v>1.3399662484027469E-3</v>
      </c>
      <c r="U45" s="293">
        <v>225</v>
      </c>
      <c r="V45" s="49">
        <f t="shared" si="50"/>
        <v>1.6893030994624301E-3</v>
      </c>
      <c r="W45" s="293">
        <v>225</v>
      </c>
      <c r="X45" s="49">
        <f t="shared" si="42"/>
        <v>1.6603441581469363E-3</v>
      </c>
      <c r="Y45" s="293">
        <v>225</v>
      </c>
      <c r="Z45" s="49">
        <f t="shared" si="43"/>
        <v>1.0990827392428747E-3</v>
      </c>
      <c r="AA45" s="105">
        <f t="shared" si="51"/>
        <v>2700</v>
      </c>
      <c r="AB45" s="108">
        <f t="shared" si="44"/>
        <v>1.4154450181297542E-3</v>
      </c>
      <c r="AC45" s="89">
        <f t="shared" si="52"/>
        <v>225</v>
      </c>
      <c r="AD45" s="92">
        <f t="shared" si="46"/>
        <v>1.4154450181297542E-3</v>
      </c>
      <c r="AE45" s="214" t="s">
        <v>262</v>
      </c>
      <c r="AF45" s="293">
        <v>1358</v>
      </c>
      <c r="AG45" s="5" t="s">
        <v>260</v>
      </c>
      <c r="AH45" s="5"/>
      <c r="AI45" s="21">
        <f t="shared" si="2"/>
        <v>1145.25</v>
      </c>
    </row>
    <row r="46" spans="1:36" s="1" customFormat="1">
      <c r="A46" s="128">
        <v>6105</v>
      </c>
      <c r="B46" s="2" t="s">
        <v>39</v>
      </c>
      <c r="C46" s="280">
        <v>550</v>
      </c>
      <c r="D46" s="108">
        <f t="shared" si="34"/>
        <v>3.8336074943541416E-3</v>
      </c>
      <c r="E46" s="280">
        <v>550</v>
      </c>
      <c r="F46" s="108">
        <f t="shared" si="35"/>
        <v>4.9275206507910906E-3</v>
      </c>
      <c r="G46" s="280">
        <v>550</v>
      </c>
      <c r="H46" s="108">
        <f t="shared" si="36"/>
        <v>2.970563687723258E-3</v>
      </c>
      <c r="I46" s="280">
        <v>550</v>
      </c>
      <c r="J46" s="108">
        <f t="shared" si="37"/>
        <v>3.3641936326976305E-3</v>
      </c>
      <c r="K46" s="280">
        <v>550</v>
      </c>
      <c r="L46" s="108">
        <f t="shared" si="38"/>
        <v>3.6783148382125716E-3</v>
      </c>
      <c r="M46" s="280">
        <v>550</v>
      </c>
      <c r="N46" s="49">
        <f t="shared" si="39"/>
        <v>2.5940414339135579E-3</v>
      </c>
      <c r="O46" s="280">
        <v>550</v>
      </c>
      <c r="P46" s="49">
        <f t="shared" si="49"/>
        <v>4.0972963605609104E-3</v>
      </c>
      <c r="Q46" s="280">
        <v>550</v>
      </c>
      <c r="R46" s="108">
        <f t="shared" si="40"/>
        <v>3.2996436706177338E-3</v>
      </c>
      <c r="S46" s="280">
        <v>550</v>
      </c>
      <c r="T46" s="108">
        <f t="shared" si="41"/>
        <v>3.2754730516511591E-3</v>
      </c>
      <c r="U46" s="280">
        <v>550</v>
      </c>
      <c r="V46" s="108">
        <f t="shared" si="50"/>
        <v>4.1294075764637186E-3</v>
      </c>
      <c r="W46" s="280">
        <v>550</v>
      </c>
      <c r="X46" s="144">
        <f t="shared" si="42"/>
        <v>4.058619053248066E-3</v>
      </c>
      <c r="Y46" s="280">
        <v>550</v>
      </c>
      <c r="Z46" s="49">
        <f t="shared" si="43"/>
        <v>2.6866466959270274E-3</v>
      </c>
      <c r="AA46" s="105">
        <f t="shared" si="51"/>
        <v>6600</v>
      </c>
      <c r="AB46" s="108">
        <f t="shared" si="44"/>
        <v>3.4599767109838434E-3</v>
      </c>
      <c r="AC46" s="89">
        <f t="shared" si="52"/>
        <v>550</v>
      </c>
      <c r="AD46" s="92">
        <f t="shared" si="46"/>
        <v>3.4599767109838434E-3</v>
      </c>
      <c r="AE46" s="214" t="s">
        <v>263</v>
      </c>
      <c r="AF46" s="54">
        <v>5966</v>
      </c>
      <c r="AG46" s="5" t="s">
        <v>261</v>
      </c>
      <c r="AH46" s="5"/>
      <c r="AI46" s="21">
        <f t="shared" si="2"/>
        <v>2799.5</v>
      </c>
    </row>
    <row r="47" spans="1:36" s="1" customFormat="1">
      <c r="A47" s="128">
        <v>6106</v>
      </c>
      <c r="B47" s="2" t="s">
        <v>6</v>
      </c>
      <c r="C47" s="55">
        <v>50</v>
      </c>
      <c r="D47" s="49">
        <f t="shared" si="34"/>
        <v>3.4850977221401289E-4</v>
      </c>
      <c r="E47" s="55">
        <v>50</v>
      </c>
      <c r="F47" s="49">
        <f t="shared" si="35"/>
        <v>4.4795642279919009E-4</v>
      </c>
      <c r="G47" s="55">
        <v>50</v>
      </c>
      <c r="H47" s="49">
        <f t="shared" si="36"/>
        <v>2.7005124433847799E-4</v>
      </c>
      <c r="I47" s="55">
        <v>50</v>
      </c>
      <c r="J47" s="49">
        <f t="shared" si="37"/>
        <v>3.0583578479069371E-4</v>
      </c>
      <c r="K47" s="55">
        <v>50</v>
      </c>
      <c r="L47" s="49">
        <f t="shared" si="38"/>
        <v>3.3439225801932469E-4</v>
      </c>
      <c r="M47" s="55">
        <v>50</v>
      </c>
      <c r="N47" s="49">
        <f t="shared" si="39"/>
        <v>2.3582194853759617E-4</v>
      </c>
      <c r="O47" s="55">
        <v>50</v>
      </c>
      <c r="P47" s="49">
        <f t="shared" si="49"/>
        <v>3.7248148732371911E-4</v>
      </c>
      <c r="Q47" s="55">
        <v>50</v>
      </c>
      <c r="R47" s="49">
        <f t="shared" si="40"/>
        <v>2.9996760641979399E-4</v>
      </c>
      <c r="S47" s="55">
        <v>50</v>
      </c>
      <c r="T47" s="49">
        <f t="shared" si="41"/>
        <v>2.9777027742283263E-4</v>
      </c>
      <c r="U47" s="55">
        <v>50</v>
      </c>
      <c r="V47" s="49">
        <f t="shared" si="50"/>
        <v>3.7540068876942893E-4</v>
      </c>
      <c r="W47" s="55">
        <v>50</v>
      </c>
      <c r="X47" s="49">
        <f t="shared" si="42"/>
        <v>3.6896536847709694E-4</v>
      </c>
      <c r="Y47" s="55">
        <v>50</v>
      </c>
      <c r="Z47" s="49">
        <f t="shared" si="43"/>
        <v>2.4424060872063884E-4</v>
      </c>
      <c r="AA47" s="105">
        <f t="shared" si="51"/>
        <v>600</v>
      </c>
      <c r="AB47" s="108">
        <f t="shared" si="44"/>
        <v>3.1454333736216758E-4</v>
      </c>
      <c r="AC47" s="89">
        <f t="shared" si="52"/>
        <v>50</v>
      </c>
      <c r="AD47" s="92">
        <f t="shared" si="46"/>
        <v>3.1454333736216758E-4</v>
      </c>
      <c r="AE47" s="214" t="s">
        <v>270</v>
      </c>
      <c r="AF47" s="54">
        <v>278</v>
      </c>
      <c r="AG47" s="5" t="s">
        <v>265</v>
      </c>
      <c r="AH47" s="289"/>
      <c r="AI47" s="21">
        <f t="shared" si="2"/>
        <v>254.5</v>
      </c>
    </row>
    <row r="48" spans="1:36" s="1" customFormat="1">
      <c r="A48" s="128">
        <v>6107</v>
      </c>
      <c r="B48" s="2" t="s">
        <v>7</v>
      </c>
      <c r="C48" s="55">
        <v>200</v>
      </c>
      <c r="D48" s="49">
        <f t="shared" si="34"/>
        <v>1.3940390888560516E-3</v>
      </c>
      <c r="E48" s="55">
        <v>200</v>
      </c>
      <c r="F48" s="49">
        <f t="shared" si="35"/>
        <v>1.7918256911967603E-3</v>
      </c>
      <c r="G48" s="55">
        <v>200</v>
      </c>
      <c r="H48" s="49">
        <f t="shared" si="36"/>
        <v>1.080204977353912E-3</v>
      </c>
      <c r="I48" s="55">
        <v>200</v>
      </c>
      <c r="J48" s="49">
        <f t="shared" si="37"/>
        <v>1.2233431391627748E-3</v>
      </c>
      <c r="K48" s="55">
        <v>200</v>
      </c>
      <c r="L48" s="49">
        <f t="shared" si="38"/>
        <v>1.3375690320772988E-3</v>
      </c>
      <c r="M48" s="55">
        <v>200</v>
      </c>
      <c r="N48" s="49">
        <f t="shared" si="39"/>
        <v>9.4328779415038468E-4</v>
      </c>
      <c r="O48" s="55">
        <v>200</v>
      </c>
      <c r="P48" s="49">
        <f t="shared" si="49"/>
        <v>1.4899259492948764E-3</v>
      </c>
      <c r="Q48" s="55">
        <v>200</v>
      </c>
      <c r="R48" s="49">
        <f t="shared" si="40"/>
        <v>1.199870425679176E-3</v>
      </c>
      <c r="S48" s="55">
        <v>200</v>
      </c>
      <c r="T48" s="49">
        <f t="shared" si="41"/>
        <v>1.1910811096913305E-3</v>
      </c>
      <c r="U48" s="55">
        <v>200</v>
      </c>
      <c r="V48" s="49">
        <f t="shared" si="50"/>
        <v>1.5016027550777157E-3</v>
      </c>
      <c r="W48" s="55">
        <v>200</v>
      </c>
      <c r="X48" s="49">
        <f t="shared" si="42"/>
        <v>1.4758614739083878E-3</v>
      </c>
      <c r="Y48" s="55">
        <v>200</v>
      </c>
      <c r="Z48" s="49">
        <f t="shared" si="43"/>
        <v>9.7696243488255537E-4</v>
      </c>
      <c r="AA48" s="105">
        <f t="shared" si="51"/>
        <v>2400</v>
      </c>
      <c r="AB48" s="108">
        <f t="shared" si="44"/>
        <v>1.2581733494486703E-3</v>
      </c>
      <c r="AC48" s="89">
        <f t="shared" si="52"/>
        <v>200</v>
      </c>
      <c r="AD48" s="92">
        <f t="shared" si="46"/>
        <v>1.2581733494486703E-3</v>
      </c>
      <c r="AE48" s="214" t="s">
        <v>270</v>
      </c>
      <c r="AF48" s="54">
        <v>2767</v>
      </c>
      <c r="AG48" s="5" t="s">
        <v>266</v>
      </c>
      <c r="AH48" s="289"/>
      <c r="AI48" s="21">
        <f t="shared" si="2"/>
        <v>1018</v>
      </c>
    </row>
    <row r="49" spans="1:35" s="1" customFormat="1">
      <c r="A49" s="128">
        <v>6108</v>
      </c>
      <c r="B49" s="128" t="s">
        <v>8</v>
      </c>
      <c r="C49" s="55">
        <v>0</v>
      </c>
      <c r="D49" s="49">
        <f t="shared" si="34"/>
        <v>0</v>
      </c>
      <c r="E49" s="55">
        <v>0</v>
      </c>
      <c r="F49" s="49">
        <f t="shared" si="35"/>
        <v>0</v>
      </c>
      <c r="G49" s="55">
        <v>0</v>
      </c>
      <c r="H49" s="49">
        <f t="shared" si="36"/>
        <v>0</v>
      </c>
      <c r="I49" s="55">
        <v>0</v>
      </c>
      <c r="J49" s="49">
        <f t="shared" si="37"/>
        <v>0</v>
      </c>
      <c r="K49" s="55">
        <v>0</v>
      </c>
      <c r="L49" s="49">
        <f t="shared" si="38"/>
        <v>0</v>
      </c>
      <c r="M49" s="55">
        <v>0</v>
      </c>
      <c r="N49" s="49">
        <f t="shared" si="39"/>
        <v>0</v>
      </c>
      <c r="O49" s="55">
        <v>0</v>
      </c>
      <c r="P49" s="49">
        <f t="shared" si="49"/>
        <v>0</v>
      </c>
      <c r="Q49" s="55">
        <v>0</v>
      </c>
      <c r="R49" s="49">
        <f t="shared" si="40"/>
        <v>0</v>
      </c>
      <c r="S49" s="55">
        <v>0</v>
      </c>
      <c r="T49" s="49">
        <f t="shared" si="41"/>
        <v>0</v>
      </c>
      <c r="U49" s="55">
        <v>0</v>
      </c>
      <c r="V49" s="49">
        <f t="shared" si="50"/>
        <v>0</v>
      </c>
      <c r="W49" s="55">
        <v>0</v>
      </c>
      <c r="X49" s="49">
        <f t="shared" si="42"/>
        <v>0</v>
      </c>
      <c r="Y49" s="55">
        <v>0</v>
      </c>
      <c r="Z49" s="49">
        <f t="shared" si="43"/>
        <v>0</v>
      </c>
      <c r="AA49" s="105">
        <f t="shared" si="51"/>
        <v>0</v>
      </c>
      <c r="AB49" s="108">
        <f t="shared" si="44"/>
        <v>0</v>
      </c>
      <c r="AC49" s="89">
        <f t="shared" si="52"/>
        <v>0</v>
      </c>
      <c r="AD49" s="92">
        <f t="shared" si="46"/>
        <v>0</v>
      </c>
      <c r="AE49" s="214" t="s">
        <v>270</v>
      </c>
      <c r="AF49" s="54">
        <v>200</v>
      </c>
      <c r="AG49" s="5" t="s">
        <v>267</v>
      </c>
      <c r="AH49" s="289"/>
      <c r="AI49" s="21">
        <f t="shared" si="2"/>
        <v>0</v>
      </c>
    </row>
    <row r="50" spans="1:35" s="1" customFormat="1">
      <c r="A50" s="128">
        <v>6109</v>
      </c>
      <c r="B50" s="128" t="s">
        <v>79</v>
      </c>
      <c r="C50" s="55">
        <v>50</v>
      </c>
      <c r="D50" s="49">
        <f t="shared" si="34"/>
        <v>3.4850977221401289E-4</v>
      </c>
      <c r="E50" s="55">
        <v>50</v>
      </c>
      <c r="F50" s="49">
        <f t="shared" si="35"/>
        <v>4.4795642279919009E-4</v>
      </c>
      <c r="G50" s="55">
        <v>50</v>
      </c>
      <c r="H50" s="49">
        <f t="shared" si="36"/>
        <v>2.7005124433847799E-4</v>
      </c>
      <c r="I50" s="55">
        <v>50</v>
      </c>
      <c r="J50" s="49">
        <f t="shared" si="37"/>
        <v>3.0583578479069371E-4</v>
      </c>
      <c r="K50" s="55">
        <v>50</v>
      </c>
      <c r="L50" s="49">
        <f t="shared" si="38"/>
        <v>3.3439225801932469E-4</v>
      </c>
      <c r="M50" s="55">
        <v>50</v>
      </c>
      <c r="N50" s="49">
        <f t="shared" si="39"/>
        <v>2.3582194853759617E-4</v>
      </c>
      <c r="O50" s="55">
        <v>50</v>
      </c>
      <c r="P50" s="49">
        <f t="shared" si="49"/>
        <v>3.7248148732371911E-4</v>
      </c>
      <c r="Q50" s="55">
        <v>50</v>
      </c>
      <c r="R50" s="49">
        <f t="shared" si="40"/>
        <v>2.9996760641979399E-4</v>
      </c>
      <c r="S50" s="55">
        <v>50</v>
      </c>
      <c r="T50" s="49">
        <f t="shared" si="41"/>
        <v>2.9777027742283263E-4</v>
      </c>
      <c r="U50" s="55">
        <v>50</v>
      </c>
      <c r="V50" s="49">
        <f t="shared" si="50"/>
        <v>3.7540068876942893E-4</v>
      </c>
      <c r="W50" s="55">
        <v>50</v>
      </c>
      <c r="X50" s="49">
        <f t="shared" si="42"/>
        <v>3.6896536847709694E-4</v>
      </c>
      <c r="Y50" s="55">
        <v>50</v>
      </c>
      <c r="Z50" s="49">
        <f t="shared" si="43"/>
        <v>2.4424060872063884E-4</v>
      </c>
      <c r="AA50" s="105">
        <f t="shared" si="51"/>
        <v>600</v>
      </c>
      <c r="AB50" s="108">
        <f t="shared" si="44"/>
        <v>3.1454333736216758E-4</v>
      </c>
      <c r="AC50" s="89">
        <f t="shared" si="52"/>
        <v>50</v>
      </c>
      <c r="AD50" s="92">
        <f t="shared" si="46"/>
        <v>3.1454333736216758E-4</v>
      </c>
      <c r="AE50" s="214" t="s">
        <v>270</v>
      </c>
      <c r="AF50" s="54">
        <v>400</v>
      </c>
      <c r="AG50" s="5" t="s">
        <v>267</v>
      </c>
      <c r="AH50" s="289"/>
      <c r="AI50" s="21">
        <f t="shared" si="2"/>
        <v>254.5</v>
      </c>
    </row>
    <row r="51" spans="1:35" s="1" customFormat="1">
      <c r="A51" s="128">
        <v>6110</v>
      </c>
      <c r="B51" s="2" t="s">
        <v>9</v>
      </c>
      <c r="C51" s="55">
        <v>75</v>
      </c>
      <c r="D51" s="49">
        <f t="shared" ref="D51:D60" si="53">C127/C$12</f>
        <v>6.9701954442802578E-4</v>
      </c>
      <c r="E51" s="55">
        <v>75</v>
      </c>
      <c r="F51" s="49">
        <f t="shared" ref="F51:F60" si="54">E127/E$12</f>
        <v>8.9591284559838017E-4</v>
      </c>
      <c r="G51" s="55">
        <v>75</v>
      </c>
      <c r="H51" s="49">
        <f t="shared" ref="H51:H60" si="55">G127/G$12</f>
        <v>5.4010248867695598E-4</v>
      </c>
      <c r="I51" s="55">
        <v>75</v>
      </c>
      <c r="J51" s="49">
        <f t="shared" ref="J51:J60" si="56">I127/I$12</f>
        <v>6.1167156958138742E-4</v>
      </c>
      <c r="K51" s="55">
        <v>75</v>
      </c>
      <c r="L51" s="49">
        <f t="shared" ref="L51:L60" si="57">K127/K$12</f>
        <v>6.6878451603864938E-4</v>
      </c>
      <c r="M51" s="55">
        <v>75</v>
      </c>
      <c r="N51" s="49">
        <f t="shared" ref="N51:N60" si="58">M127/M$12</f>
        <v>4.7164389707519234E-4</v>
      </c>
      <c r="O51" s="55">
        <v>75</v>
      </c>
      <c r="P51" s="49">
        <f t="shared" ref="P51:P60" si="59">O127/O$12</f>
        <v>7.4496297464743822E-4</v>
      </c>
      <c r="Q51" s="55">
        <v>75</v>
      </c>
      <c r="R51" s="49">
        <f t="shared" ref="R51:R60" si="60">Q127/Q$12</f>
        <v>5.9993521283958798E-4</v>
      </c>
      <c r="S51" s="55">
        <v>75</v>
      </c>
      <c r="T51" s="49">
        <f t="shared" ref="T51:T60" si="61">S127/S$12</f>
        <v>5.9554055484566527E-4</v>
      </c>
      <c r="U51" s="55">
        <v>75</v>
      </c>
      <c r="V51" s="49">
        <f t="shared" ref="V51:V60" si="62">U127/U$12</f>
        <v>7.5080137753885787E-4</v>
      </c>
      <c r="W51" s="55">
        <v>75</v>
      </c>
      <c r="X51" s="49">
        <f t="shared" ref="X51:X60" si="63">W127/W$12</f>
        <v>7.3793073695419388E-4</v>
      </c>
      <c r="Y51" s="55">
        <v>75</v>
      </c>
      <c r="Z51" s="49">
        <f t="shared" ref="Z51:Z60" si="64">Y127/Y$12</f>
        <v>4.8848121744127769E-4</v>
      </c>
      <c r="AA51" s="105">
        <f t="shared" si="51"/>
        <v>900</v>
      </c>
      <c r="AB51" s="108">
        <f t="shared" si="44"/>
        <v>4.718150060432514E-4</v>
      </c>
      <c r="AC51" s="89">
        <f t="shared" si="52"/>
        <v>75</v>
      </c>
      <c r="AD51" s="92">
        <f t="shared" si="46"/>
        <v>4.7181500604325134E-4</v>
      </c>
      <c r="AE51" s="214" t="s">
        <v>270</v>
      </c>
      <c r="AF51" s="54">
        <v>591</v>
      </c>
      <c r="AG51" s="289" t="s">
        <v>268</v>
      </c>
      <c r="AH51" s="289"/>
      <c r="AI51" s="21">
        <f t="shared" si="2"/>
        <v>381.75</v>
      </c>
    </row>
    <row r="52" spans="1:35" s="1" customFormat="1">
      <c r="A52" s="128">
        <v>6111</v>
      </c>
      <c r="B52" s="128" t="s">
        <v>10</v>
      </c>
      <c r="C52" s="46">
        <v>10000</v>
      </c>
      <c r="D52" s="49">
        <f t="shared" si="53"/>
        <v>0</v>
      </c>
      <c r="E52" s="46">
        <v>10000</v>
      </c>
      <c r="F52" s="49">
        <f t="shared" si="54"/>
        <v>0</v>
      </c>
      <c r="G52" s="302">
        <v>10000</v>
      </c>
      <c r="H52" s="49">
        <f t="shared" si="55"/>
        <v>0</v>
      </c>
      <c r="I52" s="46">
        <v>10000</v>
      </c>
      <c r="J52" s="49">
        <f t="shared" si="56"/>
        <v>0</v>
      </c>
      <c r="K52" s="46">
        <v>10000</v>
      </c>
      <c r="L52" s="49">
        <f t="shared" si="57"/>
        <v>0</v>
      </c>
      <c r="M52" s="46">
        <v>10000</v>
      </c>
      <c r="N52" s="49">
        <f t="shared" si="58"/>
        <v>0</v>
      </c>
      <c r="O52" s="46">
        <v>10000</v>
      </c>
      <c r="P52" s="49">
        <f t="shared" si="59"/>
        <v>0</v>
      </c>
      <c r="Q52" s="46">
        <v>10000</v>
      </c>
      <c r="R52" s="49">
        <f t="shared" si="60"/>
        <v>0</v>
      </c>
      <c r="S52" s="46">
        <v>10000</v>
      </c>
      <c r="T52" s="49">
        <f t="shared" si="61"/>
        <v>0</v>
      </c>
      <c r="U52" s="46">
        <v>10000</v>
      </c>
      <c r="V52" s="49">
        <f t="shared" si="62"/>
        <v>0</v>
      </c>
      <c r="W52" s="46">
        <v>10000</v>
      </c>
      <c r="X52" s="49">
        <f t="shared" si="63"/>
        <v>0</v>
      </c>
      <c r="Y52" s="46">
        <v>10000</v>
      </c>
      <c r="Z52" s="49">
        <f t="shared" si="64"/>
        <v>0</v>
      </c>
      <c r="AA52" s="105">
        <f t="shared" si="51"/>
        <v>120000</v>
      </c>
      <c r="AB52" s="108">
        <f t="shared" si="44"/>
        <v>6.2908667472433524E-2</v>
      </c>
      <c r="AC52" s="89">
        <f t="shared" si="52"/>
        <v>10000</v>
      </c>
      <c r="AD52" s="92">
        <f t="shared" si="46"/>
        <v>6.290866747243351E-2</v>
      </c>
      <c r="AE52" s="214" t="s">
        <v>269</v>
      </c>
      <c r="AF52" s="222">
        <v>10000</v>
      </c>
      <c r="AG52" s="1" t="s">
        <v>155</v>
      </c>
      <c r="AH52" s="289"/>
      <c r="AI52" s="21">
        <f t="shared" si="2"/>
        <v>50900</v>
      </c>
    </row>
    <row r="53" spans="1:35" s="1" customFormat="1">
      <c r="A53" s="128">
        <v>6112</v>
      </c>
      <c r="B53" s="128" t="s">
        <v>11</v>
      </c>
      <c r="C53" s="46">
        <f>750*1.2</f>
        <v>900</v>
      </c>
      <c r="D53" s="49">
        <f t="shared" si="53"/>
        <v>1.4182117266568156E-2</v>
      </c>
      <c r="E53" s="46">
        <f>750*1.2</f>
        <v>900</v>
      </c>
      <c r="F53" s="49">
        <f t="shared" si="54"/>
        <v>1.5375477073590282E-2</v>
      </c>
      <c r="G53" s="46">
        <f>750*1.2</f>
        <v>900</v>
      </c>
      <c r="H53" s="49">
        <f t="shared" si="55"/>
        <v>1.3240614932061736E-2</v>
      </c>
      <c r="I53" s="46">
        <f>750*1.2</f>
        <v>900</v>
      </c>
      <c r="J53" s="49">
        <f t="shared" si="56"/>
        <v>1.3670029417488324E-2</v>
      </c>
      <c r="K53" s="46">
        <f>750*1.2</f>
        <v>900</v>
      </c>
      <c r="L53" s="49">
        <f t="shared" si="57"/>
        <v>1.4012707096231895E-2</v>
      </c>
      <c r="M53" s="46">
        <f>750*1.2</f>
        <v>900</v>
      </c>
      <c r="N53" s="49">
        <f t="shared" si="58"/>
        <v>1.2829863382451154E-2</v>
      </c>
      <c r="O53" s="46">
        <f>750*1.2</f>
        <v>900</v>
      </c>
      <c r="P53" s="49">
        <f t="shared" si="59"/>
        <v>1.4469777847884628E-2</v>
      </c>
      <c r="Q53" s="46">
        <f>750*1.2</f>
        <v>900</v>
      </c>
      <c r="R53" s="49">
        <f t="shared" si="60"/>
        <v>1.3599611277037528E-2</v>
      </c>
      <c r="S53" s="46">
        <f>750*1.2</f>
        <v>900</v>
      </c>
      <c r="T53" s="49">
        <f t="shared" si="61"/>
        <v>1.3573243329073992E-2</v>
      </c>
      <c r="U53" s="46">
        <f>750*1.2</f>
        <v>900</v>
      </c>
      <c r="V53" s="49">
        <f t="shared" si="62"/>
        <v>1.4504808265233149E-2</v>
      </c>
      <c r="W53" s="46">
        <f>750*1.2</f>
        <v>900</v>
      </c>
      <c r="X53" s="49">
        <f t="shared" si="63"/>
        <v>1.4427584421725164E-2</v>
      </c>
      <c r="Y53" s="46">
        <f>750*1.2</f>
        <v>900</v>
      </c>
      <c r="Z53" s="49">
        <f t="shared" si="64"/>
        <v>1.2930887304647668E-2</v>
      </c>
      <c r="AA53" s="105">
        <f t="shared" si="51"/>
        <v>10800</v>
      </c>
      <c r="AB53" s="108">
        <f t="shared" si="44"/>
        <v>5.6617800725190168E-3</v>
      </c>
      <c r="AC53" s="89">
        <f t="shared" si="52"/>
        <v>900</v>
      </c>
      <c r="AD53" s="92">
        <f t="shared" si="46"/>
        <v>5.6617800725190168E-3</v>
      </c>
      <c r="AE53" s="214" t="s">
        <v>271</v>
      </c>
      <c r="AF53" s="54">
        <v>6750</v>
      </c>
      <c r="AG53" s="289" t="s">
        <v>272</v>
      </c>
      <c r="AH53" s="289"/>
      <c r="AI53" s="21">
        <f t="shared" si="2"/>
        <v>4581</v>
      </c>
    </row>
    <row r="54" spans="1:35" s="1" customFormat="1">
      <c r="A54" s="128">
        <v>6113</v>
      </c>
      <c r="B54" s="128" t="s">
        <v>12</v>
      </c>
      <c r="C54" s="46">
        <v>0</v>
      </c>
      <c r="D54" s="49">
        <f t="shared" si="53"/>
        <v>0</v>
      </c>
      <c r="E54" s="46">
        <v>0</v>
      </c>
      <c r="F54" s="49">
        <f t="shared" si="54"/>
        <v>0</v>
      </c>
      <c r="G54" s="289"/>
      <c r="H54" s="49">
        <f t="shared" si="55"/>
        <v>0</v>
      </c>
      <c r="I54" s="46">
        <v>0</v>
      </c>
      <c r="J54" s="49">
        <f t="shared" si="56"/>
        <v>0</v>
      </c>
      <c r="K54" s="46">
        <v>0</v>
      </c>
      <c r="L54" s="49">
        <f t="shared" si="57"/>
        <v>0</v>
      </c>
      <c r="M54" s="46">
        <v>0</v>
      </c>
      <c r="N54" s="49">
        <f t="shared" si="58"/>
        <v>0</v>
      </c>
      <c r="O54" s="46">
        <v>0</v>
      </c>
      <c r="P54" s="49">
        <f t="shared" si="59"/>
        <v>0</v>
      </c>
      <c r="Q54" s="46">
        <v>0</v>
      </c>
      <c r="R54" s="49">
        <f t="shared" si="60"/>
        <v>0</v>
      </c>
      <c r="S54" s="46">
        <v>0</v>
      </c>
      <c r="T54" s="49">
        <f t="shared" si="61"/>
        <v>0</v>
      </c>
      <c r="U54" s="46">
        <v>0</v>
      </c>
      <c r="V54" s="49">
        <f t="shared" si="62"/>
        <v>0</v>
      </c>
      <c r="W54" s="46">
        <v>0</v>
      </c>
      <c r="X54" s="49">
        <f t="shared" si="63"/>
        <v>0</v>
      </c>
      <c r="Y54" s="46">
        <v>0</v>
      </c>
      <c r="Z54" s="49">
        <f t="shared" si="64"/>
        <v>0</v>
      </c>
      <c r="AA54" s="105">
        <f t="shared" si="51"/>
        <v>0</v>
      </c>
      <c r="AB54" s="108">
        <f t="shared" si="44"/>
        <v>0</v>
      </c>
      <c r="AC54" s="89">
        <f t="shared" si="52"/>
        <v>0</v>
      </c>
      <c r="AD54" s="92">
        <f t="shared" si="46"/>
        <v>0</v>
      </c>
      <c r="AE54" s="214"/>
      <c r="AF54" s="54"/>
      <c r="AH54" s="289"/>
      <c r="AI54" s="21">
        <f t="shared" si="2"/>
        <v>0</v>
      </c>
    </row>
    <row r="55" spans="1:35" s="1" customFormat="1">
      <c r="A55" s="128">
        <v>6114</v>
      </c>
      <c r="B55" s="128" t="s">
        <v>88</v>
      </c>
      <c r="C55" s="55">
        <v>950</v>
      </c>
      <c r="D55" s="49">
        <f t="shared" si="53"/>
        <v>6.8275482523961428E-2</v>
      </c>
      <c r="E55" s="55">
        <v>950</v>
      </c>
      <c r="F55" s="49">
        <f t="shared" si="54"/>
        <v>-5.7980655047784851E-2</v>
      </c>
      <c r="G55" s="55">
        <v>950</v>
      </c>
      <c r="H55" s="49">
        <f t="shared" si="55"/>
        <v>0.13177497078957948</v>
      </c>
      <c r="I55" s="55">
        <v>950</v>
      </c>
      <c r="J55" s="49">
        <f t="shared" si="56"/>
        <v>5.2712638969645759E-2</v>
      </c>
      <c r="K55" s="55">
        <v>950</v>
      </c>
      <c r="L55" s="49">
        <f t="shared" si="57"/>
        <v>9.8428080754902544E-2</v>
      </c>
      <c r="M55" s="55">
        <v>950</v>
      </c>
      <c r="N55" s="49">
        <f t="shared" si="58"/>
        <v>9.2445940303665694E-2</v>
      </c>
      <c r="O55" s="55">
        <v>950</v>
      </c>
      <c r="P55" s="49">
        <f t="shared" si="59"/>
        <v>-7.9820643852327289E-2</v>
      </c>
      <c r="Q55" s="55">
        <v>950</v>
      </c>
      <c r="R55" s="49">
        <f t="shared" si="60"/>
        <v>-4.1023139723035656E-3</v>
      </c>
      <c r="S55" s="55">
        <v>950</v>
      </c>
      <c r="T55" s="49">
        <f t="shared" si="61"/>
        <v>-2.3020291451322342E-2</v>
      </c>
      <c r="U55" s="55">
        <v>950</v>
      </c>
      <c r="V55" s="49">
        <f t="shared" si="62"/>
        <v>-4.5961512113082401E-2</v>
      </c>
      <c r="W55" s="55">
        <v>950</v>
      </c>
      <c r="X55" s="49">
        <f t="shared" si="63"/>
        <v>-1.6799281006963294E-2</v>
      </c>
      <c r="Y55" s="55">
        <v>950</v>
      </c>
      <c r="Z55" s="49">
        <f t="shared" si="64"/>
        <v>0.11994064711566788</v>
      </c>
      <c r="AA55" s="105">
        <f t="shared" si="51"/>
        <v>11400</v>
      </c>
      <c r="AB55" s="108">
        <f t="shared" si="44"/>
        <v>5.9763234098811841E-3</v>
      </c>
      <c r="AC55" s="89">
        <f t="shared" si="52"/>
        <v>950</v>
      </c>
      <c r="AD55" s="92">
        <f t="shared" si="46"/>
        <v>5.9763234098811841E-3</v>
      </c>
      <c r="AE55" s="214" t="s">
        <v>270</v>
      </c>
      <c r="AF55" s="54">
        <v>7588</v>
      </c>
      <c r="AG55" s="289" t="s">
        <v>273</v>
      </c>
      <c r="AH55" s="289"/>
      <c r="AI55" s="21">
        <f t="shared" si="2"/>
        <v>4835.5</v>
      </c>
    </row>
    <row r="56" spans="1:35" s="1" customFormat="1">
      <c r="A56" s="128">
        <v>6115</v>
      </c>
      <c r="B56" s="128" t="s">
        <v>13</v>
      </c>
      <c r="C56" s="55">
        <v>275</v>
      </c>
      <c r="D56" s="49">
        <f t="shared" si="53"/>
        <v>0</v>
      </c>
      <c r="E56" s="55">
        <v>275</v>
      </c>
      <c r="F56" s="49">
        <f t="shared" si="54"/>
        <v>0</v>
      </c>
      <c r="G56" s="55">
        <v>275</v>
      </c>
      <c r="H56" s="49">
        <f t="shared" si="55"/>
        <v>0</v>
      </c>
      <c r="I56" s="55">
        <v>275</v>
      </c>
      <c r="J56" s="49">
        <f t="shared" si="56"/>
        <v>0</v>
      </c>
      <c r="K56" s="55">
        <v>275</v>
      </c>
      <c r="L56" s="49">
        <f t="shared" si="57"/>
        <v>0</v>
      </c>
      <c r="M56" s="55">
        <v>275</v>
      </c>
      <c r="N56" s="49">
        <f t="shared" si="58"/>
        <v>0</v>
      </c>
      <c r="O56" s="55">
        <v>275</v>
      </c>
      <c r="P56" s="49">
        <f t="shared" si="59"/>
        <v>0</v>
      </c>
      <c r="Q56" s="55">
        <v>275</v>
      </c>
      <c r="R56" s="49">
        <f t="shared" si="60"/>
        <v>0</v>
      </c>
      <c r="S56" s="55">
        <v>275</v>
      </c>
      <c r="T56" s="49">
        <f t="shared" si="61"/>
        <v>0</v>
      </c>
      <c r="U56" s="55">
        <v>275</v>
      </c>
      <c r="V56" s="49">
        <f t="shared" si="62"/>
        <v>0</v>
      </c>
      <c r="W56" s="55">
        <v>275</v>
      </c>
      <c r="X56" s="49">
        <f t="shared" si="63"/>
        <v>0</v>
      </c>
      <c r="Y56" s="55">
        <v>275</v>
      </c>
      <c r="Z56" s="49">
        <f t="shared" si="64"/>
        <v>0</v>
      </c>
      <c r="AA56" s="105">
        <f t="shared" si="51"/>
        <v>3300</v>
      </c>
      <c r="AB56" s="108">
        <f t="shared" si="44"/>
        <v>1.7299883554919217E-3</v>
      </c>
      <c r="AC56" s="89">
        <f t="shared" si="52"/>
        <v>275</v>
      </c>
      <c r="AD56" s="92">
        <f t="shared" si="46"/>
        <v>1.7299883554919217E-3</v>
      </c>
      <c r="AE56" s="214" t="s">
        <v>218</v>
      </c>
      <c r="AF56" s="54">
        <v>2351</v>
      </c>
      <c r="AG56" s="1" t="s">
        <v>157</v>
      </c>
      <c r="AH56" s="289"/>
      <c r="AI56" s="21">
        <f t="shared" si="2"/>
        <v>1399.75</v>
      </c>
    </row>
    <row r="57" spans="1:35" s="1" customFormat="1">
      <c r="A57" s="128">
        <v>6116</v>
      </c>
      <c r="B57" s="128" t="s">
        <v>14</v>
      </c>
      <c r="C57" s="55">
        <f>204.15*1.2</f>
        <v>244.98</v>
      </c>
      <c r="D57" s="49">
        <f t="shared" si="53"/>
        <v>0</v>
      </c>
      <c r="E57" s="55">
        <f>204.15*1.2</f>
        <v>244.98</v>
      </c>
      <c r="F57" s="49">
        <f t="shared" si="54"/>
        <v>0</v>
      </c>
      <c r="G57" s="55">
        <f>204.15*1.2</f>
        <v>244.98</v>
      </c>
      <c r="H57" s="49">
        <f t="shared" si="55"/>
        <v>0</v>
      </c>
      <c r="I57" s="55">
        <f>204.15*1.2</f>
        <v>244.98</v>
      </c>
      <c r="J57" s="49">
        <f t="shared" si="56"/>
        <v>0</v>
      </c>
      <c r="K57" s="55">
        <f>204.15*1.2</f>
        <v>244.98</v>
      </c>
      <c r="L57" s="49">
        <f t="shared" si="57"/>
        <v>0</v>
      </c>
      <c r="M57" s="55">
        <f>204.15*1.2</f>
        <v>244.98</v>
      </c>
      <c r="N57" s="49">
        <f t="shared" si="58"/>
        <v>0</v>
      </c>
      <c r="O57" s="55">
        <f>204.15*1.2</f>
        <v>244.98</v>
      </c>
      <c r="P57" s="49">
        <f t="shared" si="59"/>
        <v>0</v>
      </c>
      <c r="Q57" s="55">
        <f>204.15*1.2</f>
        <v>244.98</v>
      </c>
      <c r="R57" s="49">
        <f t="shared" si="60"/>
        <v>0</v>
      </c>
      <c r="S57" s="55">
        <f>204.15*1.2</f>
        <v>244.98</v>
      </c>
      <c r="T57" s="49">
        <f t="shared" si="61"/>
        <v>0</v>
      </c>
      <c r="U57" s="55">
        <f>204.15*1.2</f>
        <v>244.98</v>
      </c>
      <c r="V57" s="49">
        <f t="shared" si="62"/>
        <v>0</v>
      </c>
      <c r="W57" s="55">
        <f>204.15*1.2</f>
        <v>244.98</v>
      </c>
      <c r="X57" s="49">
        <f t="shared" si="63"/>
        <v>0</v>
      </c>
      <c r="Y57" s="55">
        <f>204.15*1.2</f>
        <v>244.98</v>
      </c>
      <c r="Z57" s="49">
        <f t="shared" si="64"/>
        <v>0</v>
      </c>
      <c r="AA57" s="105">
        <f t="shared" si="51"/>
        <v>2939.7599999999998</v>
      </c>
      <c r="AB57" s="108">
        <f t="shared" si="44"/>
        <v>1.5411365357396762E-3</v>
      </c>
      <c r="AC57" s="89">
        <f t="shared" si="52"/>
        <v>244.98</v>
      </c>
      <c r="AD57" s="92">
        <f t="shared" si="46"/>
        <v>1.5411365357396762E-3</v>
      </c>
      <c r="AE57" s="214" t="s">
        <v>155</v>
      </c>
      <c r="AF57" s="54">
        <v>204.15</v>
      </c>
      <c r="AG57" s="289" t="s">
        <v>274</v>
      </c>
      <c r="AH57" s="289"/>
      <c r="AI57" s="21">
        <f t="shared" si="2"/>
        <v>1246.9481999999998</v>
      </c>
    </row>
    <row r="58" spans="1:35" s="1" customFormat="1">
      <c r="A58" s="128">
        <v>6117</v>
      </c>
      <c r="B58" s="128" t="s">
        <v>15</v>
      </c>
      <c r="C58" s="46">
        <v>0</v>
      </c>
      <c r="D58" s="49">
        <f t="shared" si="53"/>
        <v>0</v>
      </c>
      <c r="E58" s="46">
        <v>0</v>
      </c>
      <c r="F58" s="49">
        <f t="shared" si="54"/>
        <v>0</v>
      </c>
      <c r="G58" s="289"/>
      <c r="H58" s="49">
        <f t="shared" si="55"/>
        <v>0</v>
      </c>
      <c r="I58" s="46">
        <v>0</v>
      </c>
      <c r="J58" s="49">
        <f t="shared" si="56"/>
        <v>0</v>
      </c>
      <c r="K58" s="46">
        <v>0</v>
      </c>
      <c r="L58" s="49">
        <f t="shared" si="57"/>
        <v>0</v>
      </c>
      <c r="M58" s="46">
        <v>0</v>
      </c>
      <c r="N58" s="49">
        <f t="shared" si="58"/>
        <v>0</v>
      </c>
      <c r="O58" s="46">
        <v>0</v>
      </c>
      <c r="P58" s="49">
        <f t="shared" si="59"/>
        <v>0</v>
      </c>
      <c r="Q58" s="46">
        <v>0</v>
      </c>
      <c r="R58" s="195">
        <f t="shared" si="60"/>
        <v>0</v>
      </c>
      <c r="S58" s="46">
        <v>0</v>
      </c>
      <c r="T58" s="195">
        <f t="shared" si="61"/>
        <v>0</v>
      </c>
      <c r="U58" s="46">
        <v>0</v>
      </c>
      <c r="V58" s="195">
        <f t="shared" si="62"/>
        <v>0</v>
      </c>
      <c r="W58" s="46">
        <v>0</v>
      </c>
      <c r="X58" s="196">
        <f t="shared" si="63"/>
        <v>0</v>
      </c>
      <c r="Y58" s="46">
        <v>0</v>
      </c>
      <c r="Z58" s="195">
        <f t="shared" si="64"/>
        <v>0</v>
      </c>
      <c r="AA58" s="105">
        <f t="shared" si="51"/>
        <v>0</v>
      </c>
      <c r="AB58" s="108">
        <f t="shared" si="44"/>
        <v>0</v>
      </c>
      <c r="AC58" s="89">
        <f t="shared" si="52"/>
        <v>0</v>
      </c>
      <c r="AD58" s="92">
        <f t="shared" si="46"/>
        <v>0</v>
      </c>
      <c r="AE58" s="216"/>
      <c r="AF58" s="54"/>
      <c r="AH58" s="289"/>
      <c r="AI58" s="21">
        <f t="shared" si="2"/>
        <v>0</v>
      </c>
    </row>
    <row r="59" spans="1:35" s="1" customFormat="1">
      <c r="A59" s="128">
        <v>6118</v>
      </c>
      <c r="B59" s="128" t="s">
        <v>16</v>
      </c>
      <c r="C59" s="55">
        <v>2500</v>
      </c>
      <c r="D59" s="49">
        <f t="shared" si="53"/>
        <v>6.8275482523961428E-2</v>
      </c>
      <c r="E59" s="55">
        <v>2500</v>
      </c>
      <c r="F59" s="49">
        <f t="shared" si="54"/>
        <v>-5.7980655047784851E-2</v>
      </c>
      <c r="G59" s="55">
        <v>2500</v>
      </c>
      <c r="H59" s="49">
        <f t="shared" si="55"/>
        <v>0.13177497078957948</v>
      </c>
      <c r="I59" s="55">
        <v>2500</v>
      </c>
      <c r="J59" s="49">
        <f t="shared" si="56"/>
        <v>5.2712638969645759E-2</v>
      </c>
      <c r="K59" s="55">
        <v>2500</v>
      </c>
      <c r="L59" s="49">
        <f t="shared" si="57"/>
        <v>9.8428080754902544E-2</v>
      </c>
      <c r="M59" s="55">
        <f>9239.41*1.15</f>
        <v>10625.321499999998</v>
      </c>
      <c r="N59" s="49">
        <f t="shared" si="58"/>
        <v>9.2445940303665694E-2</v>
      </c>
      <c r="O59" s="55">
        <f>11212.47*1.15</f>
        <v>12894.340499999998</v>
      </c>
      <c r="P59" s="49">
        <f t="shared" si="59"/>
        <v>-7.9820643852327289E-2</v>
      </c>
      <c r="Q59" s="55">
        <f>14469.5*1.15</f>
        <v>16639.924999999999</v>
      </c>
      <c r="R59" s="49">
        <f t="shared" si="60"/>
        <v>-4.1023139723035656E-3</v>
      </c>
      <c r="S59" s="55">
        <f>15924.84*1.15</f>
        <v>18313.565999999999</v>
      </c>
      <c r="T59" s="49">
        <f t="shared" si="61"/>
        <v>-2.3020291451322342E-2</v>
      </c>
      <c r="U59" s="55">
        <f>13352.58*1.15</f>
        <v>15355.466999999999</v>
      </c>
      <c r="V59" s="49">
        <f t="shared" si="62"/>
        <v>-4.5961512113082401E-2</v>
      </c>
      <c r="W59" s="55">
        <f>14000*1.15</f>
        <v>16099.999999999998</v>
      </c>
      <c r="X59" s="49">
        <f t="shared" si="63"/>
        <v>-1.6799281006963294E-2</v>
      </c>
      <c r="Y59" s="55">
        <f>14000*1.15</f>
        <v>16099.999999999998</v>
      </c>
      <c r="Z59" s="49">
        <f t="shared" si="64"/>
        <v>0.11994064711566788</v>
      </c>
      <c r="AA59" s="105">
        <f t="shared" si="51"/>
        <v>118528.62</v>
      </c>
      <c r="AB59" s="108">
        <f t="shared" si="44"/>
        <v>6.2137312846220275E-2</v>
      </c>
      <c r="AC59" s="89">
        <f t="shared" si="52"/>
        <v>9877.3850000000002</v>
      </c>
      <c r="AD59" s="92">
        <f t="shared" si="46"/>
        <v>6.2137312846220275E-2</v>
      </c>
      <c r="AE59" s="214" t="s">
        <v>270</v>
      </c>
      <c r="AF59" s="54"/>
      <c r="AG59" s="289" t="s">
        <v>275</v>
      </c>
      <c r="AH59" s="289" t="s">
        <v>254</v>
      </c>
      <c r="AI59" s="21">
        <f t="shared" si="2"/>
        <v>84697.218249999991</v>
      </c>
    </row>
    <row r="60" spans="1:35" s="1" customFormat="1">
      <c r="A60" s="128">
        <v>6119</v>
      </c>
      <c r="B60" s="128" t="s">
        <v>17</v>
      </c>
      <c r="C60" s="46"/>
      <c r="D60" s="49">
        <f t="shared" si="53"/>
        <v>0</v>
      </c>
      <c r="E60" s="46"/>
      <c r="F60" s="49">
        <f t="shared" si="54"/>
        <v>0</v>
      </c>
      <c r="G60" s="289"/>
      <c r="H60" s="49">
        <f t="shared" si="55"/>
        <v>0</v>
      </c>
      <c r="I60" s="46"/>
      <c r="J60" s="49">
        <f t="shared" si="56"/>
        <v>0</v>
      </c>
      <c r="K60" s="46"/>
      <c r="L60" s="49">
        <f t="shared" si="57"/>
        <v>0</v>
      </c>
      <c r="M60" s="46"/>
      <c r="N60" s="49">
        <f t="shared" si="58"/>
        <v>0</v>
      </c>
      <c r="O60" s="46"/>
      <c r="P60" s="49">
        <f t="shared" si="59"/>
        <v>0</v>
      </c>
      <c r="Q60" s="46"/>
      <c r="R60" s="49">
        <f t="shared" si="60"/>
        <v>0</v>
      </c>
      <c r="S60" s="46"/>
      <c r="T60" s="49">
        <f t="shared" si="61"/>
        <v>0</v>
      </c>
      <c r="U60" s="46"/>
      <c r="V60" s="49">
        <f t="shared" si="62"/>
        <v>0</v>
      </c>
      <c r="W60" s="46"/>
      <c r="X60" s="49">
        <f t="shared" si="63"/>
        <v>0</v>
      </c>
      <c r="Y60" s="46"/>
      <c r="Z60" s="49">
        <f t="shared" si="64"/>
        <v>0</v>
      </c>
      <c r="AA60" s="105">
        <f t="shared" si="51"/>
        <v>0</v>
      </c>
      <c r="AB60" s="108">
        <f t="shared" si="44"/>
        <v>0</v>
      </c>
      <c r="AC60" s="89">
        <f t="shared" si="52"/>
        <v>0</v>
      </c>
      <c r="AD60" s="92">
        <f t="shared" si="46"/>
        <v>0</v>
      </c>
      <c r="AE60" s="214"/>
      <c r="AF60" s="54"/>
      <c r="AG60" s="5"/>
      <c r="AH60" s="5"/>
      <c r="AI60" s="21">
        <f t="shared" si="2"/>
        <v>0</v>
      </c>
    </row>
    <row r="61" spans="1:35" s="1" customFormat="1">
      <c r="A61" s="128">
        <v>6120</v>
      </c>
      <c r="B61" s="128" t="s">
        <v>18</v>
      </c>
      <c r="C61" s="46"/>
      <c r="D61" s="49">
        <f t="shared" ref="D61:D66" si="65">C61/C$12</f>
        <v>0</v>
      </c>
      <c r="E61" s="46">
        <v>0</v>
      </c>
      <c r="F61" s="49">
        <f t="shared" ref="F61:F66" si="66">E61/E$12</f>
        <v>0</v>
      </c>
      <c r="G61" s="289"/>
      <c r="H61" s="49">
        <f t="shared" ref="H61:H66" si="67">G61/G$12</f>
        <v>0</v>
      </c>
      <c r="I61" s="46">
        <v>0</v>
      </c>
      <c r="J61" s="49">
        <f t="shared" ref="J61:J66" si="68">I61/I$12</f>
        <v>0</v>
      </c>
      <c r="K61" s="46">
        <v>0</v>
      </c>
      <c r="L61" s="49">
        <f t="shared" ref="L61:L66" si="69">K61/K$12</f>
        <v>0</v>
      </c>
      <c r="M61" s="46"/>
      <c r="N61" s="49">
        <f t="shared" ref="N61:N67" si="70">M61/M$12</f>
        <v>0</v>
      </c>
      <c r="O61" s="46">
        <v>0</v>
      </c>
      <c r="P61" s="49">
        <f t="shared" ref="P61:P67" si="71">O61/O$12</f>
        <v>0</v>
      </c>
      <c r="Q61" s="46">
        <v>0</v>
      </c>
      <c r="R61" s="49">
        <f t="shared" ref="R61:R66" si="72">Q61/Q$12</f>
        <v>0</v>
      </c>
      <c r="S61" s="46">
        <v>0</v>
      </c>
      <c r="T61" s="49">
        <f t="shared" ref="T61:T66" si="73">S61/S$12</f>
        <v>0</v>
      </c>
      <c r="U61" s="46">
        <v>0</v>
      </c>
      <c r="V61" s="49">
        <f t="shared" ref="V61:V66" si="74">U61/U$12</f>
        <v>0</v>
      </c>
      <c r="W61" s="46">
        <v>0</v>
      </c>
      <c r="X61" s="49">
        <f t="shared" ref="X61:X66" si="75">W61/W$12</f>
        <v>0</v>
      </c>
      <c r="Y61" s="46">
        <v>0</v>
      </c>
      <c r="Z61" s="49">
        <f t="shared" ref="Z61:Z66" si="76">Y61/Y$12</f>
        <v>0</v>
      </c>
      <c r="AA61" s="105">
        <f t="shared" si="51"/>
        <v>0</v>
      </c>
      <c r="AB61" s="108">
        <f t="shared" si="44"/>
        <v>0</v>
      </c>
      <c r="AC61" s="89">
        <f t="shared" si="52"/>
        <v>0</v>
      </c>
      <c r="AD61" s="92">
        <f t="shared" si="46"/>
        <v>0</v>
      </c>
      <c r="AE61" s="214"/>
      <c r="AF61" s="54"/>
      <c r="AH61" s="289"/>
      <c r="AI61" s="21">
        <f t="shared" si="2"/>
        <v>0</v>
      </c>
    </row>
    <row r="62" spans="1:35" s="1" customFormat="1">
      <c r="A62" s="128">
        <v>6121</v>
      </c>
      <c r="B62" s="2" t="s">
        <v>19</v>
      </c>
      <c r="C62" s="46">
        <v>50</v>
      </c>
      <c r="D62" s="49">
        <f t="shared" si="65"/>
        <v>3.4850977221401289E-4</v>
      </c>
      <c r="E62" s="46">
        <v>50</v>
      </c>
      <c r="F62" s="49">
        <f t="shared" si="66"/>
        <v>4.4795642279919009E-4</v>
      </c>
      <c r="G62" s="46">
        <v>50</v>
      </c>
      <c r="H62" s="49">
        <f t="shared" si="67"/>
        <v>2.7005124433847799E-4</v>
      </c>
      <c r="I62" s="46">
        <v>50</v>
      </c>
      <c r="J62" s="49">
        <f t="shared" si="68"/>
        <v>3.0583578479069371E-4</v>
      </c>
      <c r="K62" s="46">
        <v>50</v>
      </c>
      <c r="L62" s="49">
        <f t="shared" si="69"/>
        <v>3.3439225801932469E-4</v>
      </c>
      <c r="M62" s="46">
        <v>50</v>
      </c>
      <c r="N62" s="49">
        <f t="shared" si="70"/>
        <v>2.3582194853759617E-4</v>
      </c>
      <c r="O62" s="46">
        <v>50</v>
      </c>
      <c r="P62" s="49">
        <f t="shared" si="71"/>
        <v>3.7248148732371911E-4</v>
      </c>
      <c r="Q62" s="46">
        <v>50</v>
      </c>
      <c r="R62" s="49">
        <f t="shared" si="72"/>
        <v>2.9996760641979399E-4</v>
      </c>
      <c r="S62" s="46">
        <v>50</v>
      </c>
      <c r="T62" s="49">
        <f t="shared" si="73"/>
        <v>2.9777027742283263E-4</v>
      </c>
      <c r="U62" s="46">
        <v>50</v>
      </c>
      <c r="V62" s="49">
        <f t="shared" si="74"/>
        <v>3.7540068876942893E-4</v>
      </c>
      <c r="W62" s="46">
        <v>50</v>
      </c>
      <c r="X62" s="49">
        <f t="shared" si="75"/>
        <v>3.6896536847709694E-4</v>
      </c>
      <c r="Y62" s="46">
        <v>50</v>
      </c>
      <c r="Z62" s="49">
        <f t="shared" si="76"/>
        <v>2.4424060872063884E-4</v>
      </c>
      <c r="AA62" s="105">
        <f t="shared" si="51"/>
        <v>600</v>
      </c>
      <c r="AB62" s="108">
        <f t="shared" si="44"/>
        <v>3.1454333736216758E-4</v>
      </c>
      <c r="AC62" s="89">
        <f t="shared" si="52"/>
        <v>50</v>
      </c>
      <c r="AD62" s="92">
        <f t="shared" si="46"/>
        <v>3.1454333736216758E-4</v>
      </c>
      <c r="AE62" s="214" t="s">
        <v>276</v>
      </c>
      <c r="AF62" s="54">
        <v>213</v>
      </c>
      <c r="AG62" s="289" t="s">
        <v>219</v>
      </c>
      <c r="AH62" s="289"/>
      <c r="AI62" s="21">
        <f t="shared" si="2"/>
        <v>254.5</v>
      </c>
    </row>
    <row r="63" spans="1:35" s="1" customFormat="1">
      <c r="A63" s="2">
        <v>6122</v>
      </c>
      <c r="B63" s="2" t="s">
        <v>20</v>
      </c>
      <c r="C63" s="46"/>
      <c r="D63" s="49">
        <f t="shared" si="65"/>
        <v>0</v>
      </c>
      <c r="E63" s="46"/>
      <c r="F63" s="49">
        <f t="shared" si="66"/>
        <v>0</v>
      </c>
      <c r="G63" s="289"/>
      <c r="H63" s="49">
        <f t="shared" si="67"/>
        <v>0</v>
      </c>
      <c r="I63" s="46"/>
      <c r="J63" s="49">
        <f t="shared" si="68"/>
        <v>0</v>
      </c>
      <c r="K63" s="46"/>
      <c r="L63" s="49">
        <f t="shared" si="69"/>
        <v>0</v>
      </c>
      <c r="M63" s="46"/>
      <c r="N63" s="49">
        <f t="shared" si="70"/>
        <v>0</v>
      </c>
      <c r="O63" s="46"/>
      <c r="P63" s="49">
        <f t="shared" si="71"/>
        <v>0</v>
      </c>
      <c r="Q63" s="46"/>
      <c r="R63" s="49">
        <f t="shared" si="72"/>
        <v>0</v>
      </c>
      <c r="S63" s="46"/>
      <c r="T63" s="49">
        <f t="shared" si="73"/>
        <v>0</v>
      </c>
      <c r="U63" s="46"/>
      <c r="V63" s="49">
        <f t="shared" si="74"/>
        <v>0</v>
      </c>
      <c r="W63" s="46"/>
      <c r="X63" s="49">
        <f t="shared" si="75"/>
        <v>0</v>
      </c>
      <c r="Y63" s="46"/>
      <c r="Z63" s="49">
        <f t="shared" si="76"/>
        <v>0</v>
      </c>
      <c r="AA63" s="105">
        <f t="shared" si="51"/>
        <v>0</v>
      </c>
      <c r="AB63" s="108">
        <f t="shared" si="44"/>
        <v>0</v>
      </c>
      <c r="AC63" s="89">
        <f t="shared" si="52"/>
        <v>0</v>
      </c>
      <c r="AD63" s="92">
        <f t="shared" si="46"/>
        <v>0</v>
      </c>
      <c r="AE63" s="214"/>
      <c r="AF63" s="54"/>
      <c r="AH63" s="289"/>
      <c r="AI63" s="21">
        <f t="shared" si="2"/>
        <v>0</v>
      </c>
    </row>
    <row r="64" spans="1:35" s="1" customFormat="1">
      <c r="A64" s="2">
        <v>6123</v>
      </c>
      <c r="B64" s="2" t="s">
        <v>21</v>
      </c>
      <c r="C64" s="46"/>
      <c r="D64" s="49">
        <f t="shared" si="65"/>
        <v>0</v>
      </c>
      <c r="E64" s="46"/>
      <c r="F64" s="49">
        <f t="shared" si="66"/>
        <v>0</v>
      </c>
      <c r="G64" s="289"/>
      <c r="H64" s="49">
        <f t="shared" si="67"/>
        <v>0</v>
      </c>
      <c r="I64" s="46"/>
      <c r="J64" s="49">
        <f t="shared" si="68"/>
        <v>0</v>
      </c>
      <c r="K64" s="46"/>
      <c r="L64" s="49">
        <f t="shared" si="69"/>
        <v>0</v>
      </c>
      <c r="M64" s="46"/>
      <c r="N64" s="49">
        <f t="shared" si="70"/>
        <v>0</v>
      </c>
      <c r="O64" s="46"/>
      <c r="P64" s="49">
        <f t="shared" si="71"/>
        <v>0</v>
      </c>
      <c r="Q64" s="46"/>
      <c r="R64" s="49">
        <f t="shared" si="72"/>
        <v>0</v>
      </c>
      <c r="S64" s="46"/>
      <c r="T64" s="49">
        <f t="shared" si="73"/>
        <v>0</v>
      </c>
      <c r="U64" s="46"/>
      <c r="V64" s="49">
        <f t="shared" si="74"/>
        <v>0</v>
      </c>
      <c r="W64" s="46"/>
      <c r="X64" s="49">
        <f t="shared" si="75"/>
        <v>0</v>
      </c>
      <c r="Y64" s="46"/>
      <c r="Z64" s="49">
        <f t="shared" si="76"/>
        <v>0</v>
      </c>
      <c r="AA64" s="105">
        <f t="shared" si="51"/>
        <v>0</v>
      </c>
      <c r="AB64" s="108">
        <f t="shared" si="44"/>
        <v>0</v>
      </c>
      <c r="AC64" s="89">
        <f t="shared" si="52"/>
        <v>0</v>
      </c>
      <c r="AD64" s="92">
        <f t="shared" si="46"/>
        <v>0</v>
      </c>
      <c r="AE64" s="214"/>
      <c r="AF64" s="54"/>
      <c r="AH64" s="289"/>
      <c r="AI64" s="21">
        <f t="shared" si="2"/>
        <v>0</v>
      </c>
    </row>
    <row r="65" spans="1:35" s="1" customFormat="1">
      <c r="A65" s="128">
        <v>6124</v>
      </c>
      <c r="B65" s="2" t="s">
        <v>22</v>
      </c>
      <c r="C65" s="46">
        <v>750</v>
      </c>
      <c r="D65" s="49">
        <f t="shared" si="65"/>
        <v>5.2276465832101935E-3</v>
      </c>
      <c r="E65" s="46">
        <v>750</v>
      </c>
      <c r="F65" s="49">
        <f t="shared" si="66"/>
        <v>6.7193463419878514E-3</v>
      </c>
      <c r="G65" s="46">
        <v>750</v>
      </c>
      <c r="H65" s="49">
        <f t="shared" si="67"/>
        <v>4.0507686650771701E-3</v>
      </c>
      <c r="I65" s="46">
        <v>750</v>
      </c>
      <c r="J65" s="49">
        <f t="shared" si="68"/>
        <v>4.5875367718604051E-3</v>
      </c>
      <c r="K65" s="46">
        <v>750</v>
      </c>
      <c r="L65" s="49">
        <f t="shared" si="69"/>
        <v>5.015883870289871E-3</v>
      </c>
      <c r="M65" s="46">
        <v>750</v>
      </c>
      <c r="N65" s="49">
        <f t="shared" si="70"/>
        <v>3.5373292280639428E-3</v>
      </c>
      <c r="O65" s="46">
        <v>750</v>
      </c>
      <c r="P65" s="49">
        <f t="shared" si="71"/>
        <v>5.5872223098557871E-3</v>
      </c>
      <c r="Q65" s="46">
        <v>750</v>
      </c>
      <c r="R65" s="49">
        <f t="shared" si="72"/>
        <v>4.4995140962969093E-3</v>
      </c>
      <c r="S65" s="46">
        <v>750</v>
      </c>
      <c r="T65" s="49">
        <f t="shared" si="73"/>
        <v>4.4665541613424899E-3</v>
      </c>
      <c r="U65" s="46">
        <v>750</v>
      </c>
      <c r="V65" s="49">
        <f t="shared" si="74"/>
        <v>5.6310103315414337E-3</v>
      </c>
      <c r="W65" s="46">
        <v>750</v>
      </c>
      <c r="X65" s="49">
        <f t="shared" si="75"/>
        <v>5.5344805271564544E-3</v>
      </c>
      <c r="Y65" s="46">
        <v>750</v>
      </c>
      <c r="Z65" s="49">
        <f t="shared" si="76"/>
        <v>3.6636091308095827E-3</v>
      </c>
      <c r="AA65" s="105">
        <f t="shared" si="51"/>
        <v>9000</v>
      </c>
      <c r="AB65" s="108">
        <f t="shared" si="44"/>
        <v>4.718150060432514E-3</v>
      </c>
      <c r="AC65" s="89">
        <f t="shared" si="52"/>
        <v>750</v>
      </c>
      <c r="AD65" s="92">
        <f t="shared" si="46"/>
        <v>4.718150060432514E-3</v>
      </c>
      <c r="AE65" s="214" t="s">
        <v>276</v>
      </c>
      <c r="AF65" s="54">
        <v>7249</v>
      </c>
      <c r="AG65" s="289" t="s">
        <v>220</v>
      </c>
      <c r="AH65" s="289"/>
      <c r="AI65" s="21">
        <f t="shared" si="2"/>
        <v>3817.5</v>
      </c>
    </row>
    <row r="66" spans="1:35" s="1" customFormat="1">
      <c r="A66" s="128">
        <v>6125</v>
      </c>
      <c r="B66" s="2" t="s">
        <v>78</v>
      </c>
      <c r="C66" s="46">
        <v>81.86</v>
      </c>
      <c r="D66" s="49">
        <f t="shared" si="65"/>
        <v>5.7058019906878186E-4</v>
      </c>
      <c r="E66" s="46">
        <v>81.86</v>
      </c>
      <c r="F66" s="49">
        <f t="shared" si="66"/>
        <v>7.3339425540683398E-4</v>
      </c>
      <c r="G66" s="46">
        <v>81.86</v>
      </c>
      <c r="H66" s="49">
        <f t="shared" si="67"/>
        <v>4.421278972309562E-4</v>
      </c>
      <c r="I66" s="46">
        <v>81.86</v>
      </c>
      <c r="J66" s="49">
        <f t="shared" si="68"/>
        <v>5.0071434685932368E-4</v>
      </c>
      <c r="K66" s="46">
        <v>81.86</v>
      </c>
      <c r="L66" s="49">
        <f t="shared" si="69"/>
        <v>5.474670048292384E-4</v>
      </c>
      <c r="M66" s="46">
        <v>81.86</v>
      </c>
      <c r="N66" s="49">
        <f t="shared" si="70"/>
        <v>3.8608769414575245E-4</v>
      </c>
      <c r="O66" s="46">
        <v>81.86</v>
      </c>
      <c r="P66" s="49">
        <f t="shared" si="71"/>
        <v>6.0982669104639301E-4</v>
      </c>
      <c r="Q66" s="46">
        <v>81.86</v>
      </c>
      <c r="R66" s="49">
        <f t="shared" si="72"/>
        <v>4.9110696523048674E-4</v>
      </c>
      <c r="S66" s="46">
        <v>81.86</v>
      </c>
      <c r="T66" s="49">
        <f t="shared" si="73"/>
        <v>4.8750949819666162E-4</v>
      </c>
      <c r="U66" s="46">
        <v>81.86</v>
      </c>
      <c r="V66" s="49">
        <f t="shared" si="74"/>
        <v>6.1460600765330905E-4</v>
      </c>
      <c r="W66" s="46">
        <v>81.86</v>
      </c>
      <c r="X66" s="49">
        <f t="shared" si="75"/>
        <v>6.0407010127070315E-4</v>
      </c>
      <c r="Y66" s="46">
        <v>81.86</v>
      </c>
      <c r="Z66" s="49">
        <f t="shared" si="76"/>
        <v>3.9987072459742989E-4</v>
      </c>
      <c r="AA66" s="105">
        <f t="shared" si="51"/>
        <v>982.32</v>
      </c>
      <c r="AB66" s="108">
        <f t="shared" si="44"/>
        <v>5.1497035192934082E-4</v>
      </c>
      <c r="AC66" s="89">
        <f t="shared" si="52"/>
        <v>81.86</v>
      </c>
      <c r="AD66" s="92">
        <f t="shared" si="46"/>
        <v>5.1497035192934072E-4</v>
      </c>
      <c r="AE66" s="214" t="s">
        <v>218</v>
      </c>
      <c r="AF66" s="54">
        <v>1682</v>
      </c>
      <c r="AG66" s="289" t="s">
        <v>231</v>
      </c>
      <c r="AH66" s="289"/>
      <c r="AI66" s="21">
        <f t="shared" si="2"/>
        <v>416.66739999999999</v>
      </c>
    </row>
    <row r="67" spans="1:35" s="1" customFormat="1">
      <c r="A67" s="2">
        <v>6126</v>
      </c>
      <c r="B67" s="2" t="s">
        <v>113</v>
      </c>
      <c r="C67" s="46"/>
      <c r="D67" s="49"/>
      <c r="E67" s="46"/>
      <c r="F67" s="49"/>
      <c r="G67" s="46"/>
      <c r="H67" s="49"/>
      <c r="I67" s="46"/>
      <c r="J67" s="49"/>
      <c r="K67" s="46"/>
      <c r="L67" s="49"/>
      <c r="M67" s="46"/>
      <c r="N67" s="49">
        <f t="shared" si="70"/>
        <v>0</v>
      </c>
      <c r="O67" s="46"/>
      <c r="P67" s="49">
        <f t="shared" si="71"/>
        <v>0</v>
      </c>
      <c r="Q67" s="46"/>
      <c r="R67" s="49"/>
      <c r="S67" s="46"/>
      <c r="T67" s="49"/>
      <c r="U67" s="46"/>
      <c r="V67" s="49"/>
      <c r="W67" s="46"/>
      <c r="X67" s="49"/>
      <c r="Y67" s="46"/>
      <c r="Z67" s="49"/>
      <c r="AA67" s="105">
        <f t="shared" si="51"/>
        <v>0</v>
      </c>
      <c r="AB67" s="108">
        <f t="shared" si="44"/>
        <v>0</v>
      </c>
      <c r="AC67" s="89">
        <f t="shared" si="52"/>
        <v>0</v>
      </c>
      <c r="AD67" s="92">
        <f t="shared" si="46"/>
        <v>0</v>
      </c>
      <c r="AE67" s="214"/>
      <c r="AF67" s="54"/>
      <c r="AH67" s="289"/>
      <c r="AI67" s="21">
        <f t="shared" si="2"/>
        <v>0</v>
      </c>
    </row>
    <row r="68" spans="1:35" s="1" customFormat="1">
      <c r="A68" s="128">
        <v>6127</v>
      </c>
      <c r="B68" s="2" t="s">
        <v>76</v>
      </c>
      <c r="C68" s="46">
        <v>197</v>
      </c>
      <c r="D68" s="49">
        <f>C68/C$12</f>
        <v>1.3731285025232107E-3</v>
      </c>
      <c r="E68" s="46">
        <v>197</v>
      </c>
      <c r="F68" s="49">
        <f>E68/E$12</f>
        <v>1.764948305828809E-3</v>
      </c>
      <c r="G68" s="46">
        <v>197</v>
      </c>
      <c r="H68" s="49">
        <f>G68/G$12</f>
        <v>1.0640019026936034E-3</v>
      </c>
      <c r="I68" s="46">
        <v>197</v>
      </c>
      <c r="J68" s="49">
        <f>I68/I$12</f>
        <v>1.2049929920753331E-3</v>
      </c>
      <c r="K68" s="46">
        <v>197</v>
      </c>
      <c r="L68" s="49">
        <f>K68/K$12</f>
        <v>1.3175054965961393E-3</v>
      </c>
      <c r="M68" s="46">
        <v>197</v>
      </c>
      <c r="N68" s="49">
        <f>M68/M$12</f>
        <v>9.2913847723812893E-4</v>
      </c>
      <c r="O68" s="46">
        <v>197</v>
      </c>
      <c r="P68" s="49">
        <f>O68/O$12</f>
        <v>1.4675770600554533E-3</v>
      </c>
      <c r="Q68" s="46">
        <v>197</v>
      </c>
      <c r="R68" s="49">
        <f>Q68/Q$12</f>
        <v>1.1818723692939882E-3</v>
      </c>
      <c r="S68" s="46">
        <v>197</v>
      </c>
      <c r="T68" s="49">
        <f>S68/S$12</f>
        <v>1.1732148930459606E-3</v>
      </c>
      <c r="U68" s="46">
        <v>197</v>
      </c>
      <c r="V68" s="49">
        <f>U68/U$12</f>
        <v>1.47907871375155E-3</v>
      </c>
      <c r="W68" s="46">
        <v>197</v>
      </c>
      <c r="X68" s="49">
        <f>W68/W$12</f>
        <v>1.453723551799762E-3</v>
      </c>
      <c r="Y68" s="46">
        <v>197</v>
      </c>
      <c r="Z68" s="49">
        <f>Y68/Y$12</f>
        <v>9.6230799835931701E-4</v>
      </c>
      <c r="AA68" s="105">
        <f t="shared" si="51"/>
        <v>2364</v>
      </c>
      <c r="AB68" s="108">
        <f t="shared" si="44"/>
        <v>1.2393007492069402E-3</v>
      </c>
      <c r="AC68" s="89">
        <f t="shared" si="52"/>
        <v>197</v>
      </c>
      <c r="AD68" s="92">
        <f t="shared" si="46"/>
        <v>1.2393007492069402E-3</v>
      </c>
      <c r="AE68" s="214" t="s">
        <v>155</v>
      </c>
      <c r="AF68" s="54"/>
      <c r="AG68" s="1" t="s">
        <v>184</v>
      </c>
      <c r="AH68" s="289"/>
      <c r="AI68" s="21">
        <f>Q68*5.09</f>
        <v>1002.73</v>
      </c>
    </row>
    <row r="69" spans="1:35" s="1" customFormat="1">
      <c r="A69" s="2">
        <v>6129</v>
      </c>
      <c r="B69" s="2" t="s">
        <v>206</v>
      </c>
      <c r="C69" s="280">
        <v>0</v>
      </c>
      <c r="D69" s="108">
        <f t="shared" ref="D69:AD76" si="77">C69/C$12</f>
        <v>0</v>
      </c>
      <c r="E69" s="280">
        <v>0</v>
      </c>
      <c r="F69" s="108">
        <f t="shared" si="77"/>
        <v>0</v>
      </c>
      <c r="G69" s="280">
        <v>0</v>
      </c>
      <c r="H69" s="108">
        <f t="shared" si="77"/>
        <v>0</v>
      </c>
      <c r="I69" s="280">
        <v>0</v>
      </c>
      <c r="J69" s="108">
        <f t="shared" si="77"/>
        <v>0</v>
      </c>
      <c r="K69" s="280">
        <v>0</v>
      </c>
      <c r="L69" s="108">
        <f t="shared" si="77"/>
        <v>0</v>
      </c>
      <c r="M69" s="280">
        <v>0</v>
      </c>
      <c r="N69" s="108">
        <f t="shared" si="77"/>
        <v>0</v>
      </c>
      <c r="O69" s="280">
        <v>0</v>
      </c>
      <c r="P69" s="108">
        <f t="shared" si="77"/>
        <v>0</v>
      </c>
      <c r="Q69" s="280">
        <v>0</v>
      </c>
      <c r="R69" s="108">
        <f t="shared" si="77"/>
        <v>0</v>
      </c>
      <c r="S69" s="280">
        <v>0</v>
      </c>
      <c r="T69" s="108">
        <f t="shared" si="77"/>
        <v>0</v>
      </c>
      <c r="U69" s="280">
        <v>0</v>
      </c>
      <c r="V69" s="108">
        <f t="shared" si="77"/>
        <v>0</v>
      </c>
      <c r="W69" s="280">
        <v>0</v>
      </c>
      <c r="X69" s="108">
        <f t="shared" si="77"/>
        <v>0</v>
      </c>
      <c r="Y69" s="280">
        <v>0</v>
      </c>
      <c r="Z69" s="108">
        <f t="shared" si="77"/>
        <v>0</v>
      </c>
      <c r="AA69" s="105">
        <f t="shared" si="51"/>
        <v>0</v>
      </c>
      <c r="AB69" s="108">
        <f t="shared" si="77"/>
        <v>0</v>
      </c>
      <c r="AC69" s="89">
        <f t="shared" si="52"/>
        <v>0</v>
      </c>
      <c r="AD69" s="108">
        <f t="shared" si="77"/>
        <v>0</v>
      </c>
      <c r="AE69" s="214"/>
      <c r="AF69" s="54"/>
      <c r="AH69" s="289"/>
      <c r="AI69" s="21">
        <f t="shared" si="2"/>
        <v>0</v>
      </c>
    </row>
    <row r="70" spans="1:35" s="289" customFormat="1">
      <c r="A70" s="2">
        <v>6131</v>
      </c>
      <c r="B70" s="2" t="s">
        <v>224</v>
      </c>
      <c r="C70" s="331">
        <v>131</v>
      </c>
      <c r="D70" s="108">
        <f t="shared" si="77"/>
        <v>9.1309560320071371E-4</v>
      </c>
      <c r="E70" s="331">
        <v>131</v>
      </c>
      <c r="F70" s="108">
        <f t="shared" si="77"/>
        <v>1.173645827733878E-3</v>
      </c>
      <c r="G70" s="331">
        <v>131</v>
      </c>
      <c r="H70" s="108">
        <f t="shared" si="77"/>
        <v>7.0753426016681236E-4</v>
      </c>
      <c r="I70" s="331">
        <v>131</v>
      </c>
      <c r="J70" s="108">
        <f t="shared" si="77"/>
        <v>8.0128975615161751E-4</v>
      </c>
      <c r="K70" s="331">
        <v>131</v>
      </c>
      <c r="L70" s="108">
        <f t="shared" si="77"/>
        <v>8.7610771601063077E-4</v>
      </c>
      <c r="M70" s="331">
        <v>131</v>
      </c>
      <c r="N70" s="108">
        <f t="shared" si="77"/>
        <v>6.17853505168502E-4</v>
      </c>
      <c r="O70" s="331">
        <v>131</v>
      </c>
      <c r="P70" s="108">
        <f t="shared" si="77"/>
        <v>9.7590149678814409E-4</v>
      </c>
      <c r="Q70" s="331">
        <v>131</v>
      </c>
      <c r="R70" s="108">
        <f t="shared" si="77"/>
        <v>7.8591512881986026E-4</v>
      </c>
      <c r="S70" s="331">
        <v>131</v>
      </c>
      <c r="T70" s="108">
        <f t="shared" si="77"/>
        <v>7.8015812684782151E-4</v>
      </c>
      <c r="U70" s="331">
        <v>131</v>
      </c>
      <c r="V70" s="108">
        <f t="shared" si="77"/>
        <v>9.8354980457590374E-4</v>
      </c>
      <c r="W70" s="331">
        <v>131</v>
      </c>
      <c r="X70" s="108">
        <f t="shared" si="77"/>
        <v>9.6668926540999396E-4</v>
      </c>
      <c r="Y70" s="331">
        <v>131</v>
      </c>
      <c r="Z70" s="108">
        <f t="shared" si="77"/>
        <v>6.3991039484807377E-4</v>
      </c>
      <c r="AA70" s="105">
        <f t="shared" si="51"/>
        <v>1572</v>
      </c>
      <c r="AB70" s="108">
        <f t="shared" si="77"/>
        <v>8.241035438888791E-4</v>
      </c>
      <c r="AC70" s="89">
        <f t="shared" si="52"/>
        <v>131</v>
      </c>
      <c r="AD70" s="108">
        <f t="shared" si="77"/>
        <v>8.241035438888791E-4</v>
      </c>
      <c r="AE70" s="214"/>
      <c r="AF70" s="54"/>
      <c r="AI70" s="21"/>
    </row>
    <row r="71" spans="1:35" s="289" customFormat="1">
      <c r="A71" s="2">
        <v>6132</v>
      </c>
      <c r="B71" s="2" t="s">
        <v>225</v>
      </c>
      <c r="C71" s="331">
        <v>9</v>
      </c>
      <c r="D71" s="108">
        <f t="shared" si="77"/>
        <v>6.2731758998522323E-5</v>
      </c>
      <c r="E71" s="331">
        <v>9</v>
      </c>
      <c r="F71" s="108">
        <f t="shared" si="77"/>
        <v>8.0632156103854218E-5</v>
      </c>
      <c r="G71" s="331">
        <v>9</v>
      </c>
      <c r="H71" s="108">
        <f t="shared" si="77"/>
        <v>4.8609223980926039E-5</v>
      </c>
      <c r="I71" s="331">
        <v>9</v>
      </c>
      <c r="J71" s="108">
        <f t="shared" si="77"/>
        <v>5.5050441262324867E-5</v>
      </c>
      <c r="K71" s="331">
        <v>9</v>
      </c>
      <c r="L71" s="108">
        <f t="shared" si="77"/>
        <v>6.0190606443478447E-5</v>
      </c>
      <c r="M71" s="331">
        <v>9</v>
      </c>
      <c r="N71" s="108">
        <f t="shared" si="77"/>
        <v>4.244795073676731E-5</v>
      </c>
      <c r="O71" s="331">
        <v>9</v>
      </c>
      <c r="P71" s="108">
        <f t="shared" si="77"/>
        <v>6.7046667718269437E-5</v>
      </c>
      <c r="Q71" s="331">
        <v>9</v>
      </c>
      <c r="R71" s="108">
        <f t="shared" si="77"/>
        <v>5.3994169155562914E-5</v>
      </c>
      <c r="S71" s="331">
        <v>9</v>
      </c>
      <c r="T71" s="108">
        <f t="shared" si="77"/>
        <v>5.3598649936109879E-5</v>
      </c>
      <c r="U71" s="331">
        <v>9</v>
      </c>
      <c r="V71" s="108">
        <f t="shared" si="77"/>
        <v>6.757212397849721E-5</v>
      </c>
      <c r="W71" s="331">
        <v>9</v>
      </c>
      <c r="X71" s="108">
        <f t="shared" si="77"/>
        <v>6.6413766325877446E-5</v>
      </c>
      <c r="Y71" s="331">
        <v>9</v>
      </c>
      <c r="Z71" s="108">
        <f t="shared" si="77"/>
        <v>4.3963309569714995E-5</v>
      </c>
      <c r="AA71" s="105">
        <f t="shared" si="51"/>
        <v>108</v>
      </c>
      <c r="AB71" s="108">
        <f t="shared" si="77"/>
        <v>5.661780072519017E-5</v>
      </c>
      <c r="AC71" s="89">
        <f t="shared" si="52"/>
        <v>9</v>
      </c>
      <c r="AD71" s="108">
        <f t="shared" si="77"/>
        <v>5.6617800725190163E-5</v>
      </c>
      <c r="AE71" s="214"/>
      <c r="AF71" s="54"/>
      <c r="AI71" s="21"/>
    </row>
    <row r="72" spans="1:35" s="289" customFormat="1">
      <c r="A72" s="2">
        <v>6133</v>
      </c>
      <c r="B72" s="2" t="s">
        <v>226</v>
      </c>
      <c r="C72" s="331">
        <v>25</v>
      </c>
      <c r="D72" s="108">
        <f t="shared" si="77"/>
        <v>1.7425488610700644E-4</v>
      </c>
      <c r="E72" s="331">
        <v>25</v>
      </c>
      <c r="F72" s="108">
        <f t="shared" si="77"/>
        <v>2.2397821139959504E-4</v>
      </c>
      <c r="G72" s="331">
        <v>25</v>
      </c>
      <c r="H72" s="108">
        <f t="shared" si="77"/>
        <v>1.35025622169239E-4</v>
      </c>
      <c r="I72" s="331">
        <v>25</v>
      </c>
      <c r="J72" s="108">
        <f t="shared" si="77"/>
        <v>1.5291789239534685E-4</v>
      </c>
      <c r="K72" s="331">
        <v>25</v>
      </c>
      <c r="L72" s="108">
        <f t="shared" si="77"/>
        <v>1.6719612900966234E-4</v>
      </c>
      <c r="M72" s="331">
        <v>25</v>
      </c>
      <c r="N72" s="108">
        <f t="shared" si="77"/>
        <v>1.1791097426879808E-4</v>
      </c>
      <c r="O72" s="331">
        <v>25</v>
      </c>
      <c r="P72" s="108">
        <f t="shared" si="77"/>
        <v>1.8624074366185956E-4</v>
      </c>
      <c r="Q72" s="331">
        <v>25</v>
      </c>
      <c r="R72" s="108">
        <f t="shared" si="77"/>
        <v>1.4998380320989699E-4</v>
      </c>
      <c r="S72" s="331">
        <v>25</v>
      </c>
      <c r="T72" s="108">
        <f t="shared" si="77"/>
        <v>1.4888513871141632E-4</v>
      </c>
      <c r="U72" s="331">
        <v>25</v>
      </c>
      <c r="V72" s="108">
        <f t="shared" si="77"/>
        <v>1.8770034438471447E-4</v>
      </c>
      <c r="W72" s="331">
        <v>25</v>
      </c>
      <c r="X72" s="108">
        <f t="shared" si="77"/>
        <v>1.8448268423854847E-4</v>
      </c>
      <c r="Y72" s="331">
        <v>25</v>
      </c>
      <c r="Z72" s="108">
        <f t="shared" si="77"/>
        <v>1.2212030436031942E-4</v>
      </c>
      <c r="AA72" s="105">
        <f t="shared" si="51"/>
        <v>300</v>
      </c>
      <c r="AB72" s="108">
        <f t="shared" si="77"/>
        <v>1.5727166868108379E-4</v>
      </c>
      <c r="AC72" s="89">
        <f t="shared" si="52"/>
        <v>25</v>
      </c>
      <c r="AD72" s="108">
        <f t="shared" si="77"/>
        <v>1.5727166868108379E-4</v>
      </c>
      <c r="AE72" s="214"/>
      <c r="AF72" s="54"/>
      <c r="AI72" s="21"/>
    </row>
    <row r="73" spans="1:35" s="289" customFormat="1">
      <c r="A73" s="2">
        <v>6134</v>
      </c>
      <c r="B73" s="2" t="s">
        <v>227</v>
      </c>
      <c r="C73" s="331"/>
      <c r="D73" s="108">
        <f t="shared" si="77"/>
        <v>0</v>
      </c>
      <c r="E73" s="331"/>
      <c r="F73" s="108">
        <f t="shared" si="77"/>
        <v>0</v>
      </c>
      <c r="H73" s="108">
        <f t="shared" si="77"/>
        <v>0</v>
      </c>
      <c r="I73" s="331"/>
      <c r="J73" s="108">
        <f t="shared" si="77"/>
        <v>0</v>
      </c>
      <c r="K73" s="331"/>
      <c r="L73" s="108">
        <f t="shared" si="77"/>
        <v>0</v>
      </c>
      <c r="M73" s="331"/>
      <c r="N73" s="108">
        <f t="shared" si="77"/>
        <v>0</v>
      </c>
      <c r="O73" s="331"/>
      <c r="P73" s="108">
        <f t="shared" si="77"/>
        <v>0</v>
      </c>
      <c r="Q73" s="331"/>
      <c r="R73" s="108">
        <f t="shared" si="77"/>
        <v>0</v>
      </c>
      <c r="S73" s="331"/>
      <c r="T73" s="108">
        <f t="shared" si="77"/>
        <v>0</v>
      </c>
      <c r="U73" s="331"/>
      <c r="V73" s="108">
        <f t="shared" si="77"/>
        <v>0</v>
      </c>
      <c r="W73" s="331"/>
      <c r="X73" s="108">
        <f t="shared" si="77"/>
        <v>0</v>
      </c>
      <c r="Y73" s="331"/>
      <c r="Z73" s="108">
        <f t="shared" si="77"/>
        <v>0</v>
      </c>
      <c r="AA73" s="105">
        <f t="shared" si="51"/>
        <v>0</v>
      </c>
      <c r="AB73" s="108">
        <f t="shared" si="77"/>
        <v>0</v>
      </c>
      <c r="AC73" s="89">
        <f t="shared" si="52"/>
        <v>0</v>
      </c>
      <c r="AD73" s="108">
        <f t="shared" si="77"/>
        <v>0</v>
      </c>
      <c r="AE73" s="214"/>
      <c r="AF73" s="54"/>
      <c r="AI73" s="21"/>
    </row>
    <row r="74" spans="1:35" s="289" customFormat="1">
      <c r="A74" s="2">
        <v>6135</v>
      </c>
      <c r="B74" s="2" t="s">
        <v>228</v>
      </c>
      <c r="C74" s="331"/>
      <c r="D74" s="108"/>
      <c r="E74" s="331"/>
      <c r="F74" s="108"/>
      <c r="H74" s="108"/>
      <c r="I74" s="331"/>
      <c r="J74" s="108"/>
      <c r="K74" s="331"/>
      <c r="L74" s="108"/>
      <c r="M74" s="331"/>
      <c r="N74" s="108"/>
      <c r="O74" s="331"/>
      <c r="P74" s="108"/>
      <c r="Q74" s="331"/>
      <c r="R74" s="108"/>
      <c r="S74" s="331"/>
      <c r="T74" s="108"/>
      <c r="U74" s="331"/>
      <c r="V74" s="108"/>
      <c r="W74" s="331"/>
      <c r="X74" s="108"/>
      <c r="Y74" s="331"/>
      <c r="Z74" s="108"/>
      <c r="AA74" s="105">
        <f t="shared" si="51"/>
        <v>0</v>
      </c>
      <c r="AB74" s="108"/>
      <c r="AC74" s="89">
        <f t="shared" si="52"/>
        <v>0</v>
      </c>
      <c r="AD74" s="108"/>
      <c r="AE74" s="214"/>
      <c r="AF74" s="54"/>
      <c r="AI74" s="21"/>
    </row>
    <row r="75" spans="1:35" s="289" customFormat="1">
      <c r="A75" s="2">
        <v>6136</v>
      </c>
      <c r="B75" s="2" t="s">
        <v>248</v>
      </c>
      <c r="C75" s="331">
        <f>354/12</f>
        <v>29.5</v>
      </c>
      <c r="D75" s="108">
        <f t="shared" si="77"/>
        <v>2.0562076560626759E-4</v>
      </c>
      <c r="E75" s="331">
        <f>354/12</f>
        <v>29.5</v>
      </c>
      <c r="F75" s="108">
        <f t="shared" si="77"/>
        <v>2.6429428945152215E-4</v>
      </c>
      <c r="G75" s="331">
        <f>354/12</f>
        <v>29.5</v>
      </c>
      <c r="H75" s="108">
        <f t="shared" si="77"/>
        <v>1.5933023415970203E-4</v>
      </c>
      <c r="I75" s="331">
        <f>354/12</f>
        <v>29.5</v>
      </c>
      <c r="J75" s="108">
        <f t="shared" si="77"/>
        <v>1.8044311302650929E-4</v>
      </c>
      <c r="K75" s="331">
        <f>354/12</f>
        <v>29.5</v>
      </c>
      <c r="L75" s="108">
        <f t="shared" si="77"/>
        <v>1.9729143223140157E-4</v>
      </c>
      <c r="M75" s="331">
        <f>354/12</f>
        <v>29.5</v>
      </c>
      <c r="N75" s="108">
        <f t="shared" si="77"/>
        <v>1.3913494963718176E-4</v>
      </c>
      <c r="O75" s="331">
        <f>354/12</f>
        <v>29.5</v>
      </c>
      <c r="P75" s="108">
        <f t="shared" si="77"/>
        <v>2.1976407752099429E-4</v>
      </c>
      <c r="Q75" s="331">
        <f>354/12</f>
        <v>29.5</v>
      </c>
      <c r="R75" s="108">
        <f t="shared" si="77"/>
        <v>1.7698088778767844E-4</v>
      </c>
      <c r="S75" s="331">
        <f>354/12</f>
        <v>29.5</v>
      </c>
      <c r="T75" s="108">
        <f t="shared" si="77"/>
        <v>1.7568446367947126E-4</v>
      </c>
      <c r="U75" s="331">
        <f>354/12</f>
        <v>29.5</v>
      </c>
      <c r="V75" s="108">
        <f t="shared" si="77"/>
        <v>2.2148640637396306E-4</v>
      </c>
      <c r="W75" s="331">
        <f>354/12</f>
        <v>29.5</v>
      </c>
      <c r="X75" s="108">
        <f t="shared" si="77"/>
        <v>2.176895674014872E-4</v>
      </c>
      <c r="Y75" s="331">
        <f>354/12</f>
        <v>29.5</v>
      </c>
      <c r="Z75" s="108">
        <f t="shared" si="77"/>
        <v>1.4410195914517691E-4</v>
      </c>
      <c r="AA75" s="105">
        <f t="shared" si="51"/>
        <v>354</v>
      </c>
      <c r="AB75" s="108">
        <f t="shared" si="77"/>
        <v>1.8558056904367887E-4</v>
      </c>
      <c r="AC75" s="89">
        <f t="shared" si="52"/>
        <v>29.5</v>
      </c>
      <c r="AD75" s="108">
        <f t="shared" si="77"/>
        <v>1.8558056904367887E-4</v>
      </c>
      <c r="AE75" s="214" t="s">
        <v>269</v>
      </c>
      <c r="AF75" s="54"/>
      <c r="AI75" s="21"/>
    </row>
    <row r="76" spans="1:35" s="1" customFormat="1" ht="15.75" thickBot="1">
      <c r="A76" s="4">
        <v>6199</v>
      </c>
      <c r="B76" s="4" t="s">
        <v>23</v>
      </c>
      <c r="C76" s="56">
        <f>SUM(C42:C75)</f>
        <v>42049.259500000007</v>
      </c>
      <c r="D76" s="332">
        <f t="shared" si="77"/>
        <v>0.29309155700225842</v>
      </c>
      <c r="E76" s="56">
        <f t="shared" ref="E76:W76" si="78">SUM(E42:E75)</f>
        <v>42640.739000000001</v>
      </c>
      <c r="F76" s="332">
        <f t="shared" si="77"/>
        <v>0.3820238581590783</v>
      </c>
      <c r="G76" s="56">
        <f t="shared" si="78"/>
        <v>42174.218499999995</v>
      </c>
      <c r="H76" s="332">
        <f t="shared" si="77"/>
        <v>0.22778400369855717</v>
      </c>
      <c r="I76" s="56">
        <f t="shared" si="78"/>
        <v>42816.136999999995</v>
      </c>
      <c r="J76" s="332">
        <f t="shared" si="77"/>
        <v>0.2618941372220171</v>
      </c>
      <c r="K76" s="56">
        <f t="shared" si="78"/>
        <v>43495.741000000002</v>
      </c>
      <c r="L76" s="332">
        <f t="shared" si="77"/>
        <v>0.2908927809442744</v>
      </c>
      <c r="M76" s="56">
        <f t="shared" si="78"/>
        <v>52122.543000000005</v>
      </c>
      <c r="N76" s="332">
        <f t="shared" si="77"/>
        <v>0.24583279305989289</v>
      </c>
      <c r="O76" s="56">
        <f t="shared" si="78"/>
        <v>54391.562000000005</v>
      </c>
      <c r="P76" s="332">
        <f t="shared" si="77"/>
        <v>0.40519699823240568</v>
      </c>
      <c r="Q76" s="56">
        <f t="shared" si="78"/>
        <v>58408.603999999992</v>
      </c>
      <c r="R76" s="332">
        <f t="shared" si="77"/>
        <v>0.35041378272403206</v>
      </c>
      <c r="S76" s="56">
        <f t="shared" si="78"/>
        <v>60268.108</v>
      </c>
      <c r="T76" s="332">
        <f t="shared" si="77"/>
        <v>0.35892102477818477</v>
      </c>
      <c r="U76" s="56">
        <f t="shared" si="78"/>
        <v>56394.395999999993</v>
      </c>
      <c r="V76" s="332">
        <f t="shared" si="77"/>
        <v>0.4234099020227185</v>
      </c>
      <c r="W76" s="56">
        <f t="shared" si="78"/>
        <v>57024.740500000007</v>
      </c>
      <c r="X76" s="332">
        <f t="shared" si="77"/>
        <v>0.42080308781786674</v>
      </c>
      <c r="Y76" s="56">
        <f>SUM(Y42:Y75)</f>
        <v>56551.090499999998</v>
      </c>
      <c r="Z76" s="332">
        <f t="shared" si="77"/>
        <v>0.2762414553507187</v>
      </c>
      <c r="AA76" s="56">
        <f>SUM(AA42:AA75)</f>
        <v>608337.13899999985</v>
      </c>
      <c r="AB76" s="332">
        <f t="shared" si="77"/>
        <v>0.31891398990402131</v>
      </c>
      <c r="AC76" s="56">
        <f>SUM(AC42:AC75)</f>
        <v>50694.761583333326</v>
      </c>
      <c r="AD76" s="332">
        <f t="shared" si="77"/>
        <v>0.31891398990402131</v>
      </c>
      <c r="AE76" s="218"/>
      <c r="AF76" s="219"/>
      <c r="AG76" s="209"/>
      <c r="AH76" s="134"/>
      <c r="AI76" s="21">
        <f t="shared" ref="AI76:AI148" si="79">Q76*5.09</f>
        <v>297299.79435999994</v>
      </c>
    </row>
    <row r="77" spans="1:35" s="1" customFormat="1" ht="15.75" thickTop="1">
      <c r="A77" s="2">
        <v>6201</v>
      </c>
      <c r="B77" s="2" t="s">
        <v>24</v>
      </c>
      <c r="C77" s="37">
        <v>9585</v>
      </c>
      <c r="D77" s="49">
        <f t="shared" ref="D77:D92" si="80">C77/C$12</f>
        <v>6.6809323333426263E-2</v>
      </c>
      <c r="E77" s="37">
        <v>9585</v>
      </c>
      <c r="F77" s="49">
        <f t="shared" ref="F77:F92" si="81">E77/E$12</f>
        <v>8.5873246250604746E-2</v>
      </c>
      <c r="G77" s="37">
        <v>9585</v>
      </c>
      <c r="H77" s="49">
        <f t="shared" ref="H77:H92" si="82">G77/G$12</f>
        <v>5.1768823539686232E-2</v>
      </c>
      <c r="I77" s="37">
        <v>9585</v>
      </c>
      <c r="J77" s="49">
        <f t="shared" ref="J77:J92" si="83">I77/I$12</f>
        <v>5.8628719944375983E-2</v>
      </c>
      <c r="K77" s="37">
        <v>9585</v>
      </c>
      <c r="L77" s="49">
        <f t="shared" ref="L77:L92" si="84">K77/K$12</f>
        <v>6.4102995862304543E-2</v>
      </c>
      <c r="M77" s="37">
        <v>9585</v>
      </c>
      <c r="N77" s="49">
        <f t="shared" ref="N77:N92" si="85">M77/M$12</f>
        <v>4.520706753465719E-2</v>
      </c>
      <c r="O77" s="37">
        <v>9585</v>
      </c>
      <c r="P77" s="49">
        <f t="shared" ref="P77:P92" si="86">O77/O$12</f>
        <v>7.1404701119956962E-2</v>
      </c>
      <c r="Q77" s="37">
        <v>9585</v>
      </c>
      <c r="R77" s="49">
        <f t="shared" ref="R77:R92" si="87">Q77/Q$12</f>
        <v>5.7503790150674507E-2</v>
      </c>
      <c r="S77" s="37">
        <v>9585</v>
      </c>
      <c r="T77" s="49">
        <f t="shared" ref="T77:T122" si="88">S77/S$12</f>
        <v>5.7082562181957015E-2</v>
      </c>
      <c r="U77" s="37">
        <v>9585</v>
      </c>
      <c r="V77" s="49">
        <f t="shared" ref="V77:V92" si="89">U77/U$12</f>
        <v>7.196431203709952E-2</v>
      </c>
      <c r="W77" s="37">
        <v>9585</v>
      </c>
      <c r="X77" s="49">
        <f t="shared" ref="X77:X92" si="90">W77/W$12</f>
        <v>7.0730661137059489E-2</v>
      </c>
      <c r="Y77" s="37">
        <v>9585</v>
      </c>
      <c r="Z77" s="49">
        <f t="shared" ref="Z77:Z122" si="91">Y77/Y$12</f>
        <v>4.6820924691746466E-2</v>
      </c>
      <c r="AA77" s="105">
        <f t="shared" ref="AA77:AA92" si="92">C77+E77+G77+I77+K77+M77+O77+Q77+S77+U77+W77+Y77</f>
        <v>115020</v>
      </c>
      <c r="AB77" s="108">
        <f t="shared" ref="AB77:AB122" si="93">AA77/AA$12</f>
        <v>6.0297957772327528E-2</v>
      </c>
      <c r="AC77" s="89">
        <f t="shared" ref="AC77:AC92" si="94">AA77/12</f>
        <v>9585</v>
      </c>
      <c r="AD77" s="92">
        <f t="shared" ref="AD77:AD122" si="95">AC77/AC$12</f>
        <v>6.0297957772327528E-2</v>
      </c>
      <c r="AE77" s="214"/>
      <c r="AF77" s="54"/>
      <c r="AH77" s="289" t="s">
        <v>255</v>
      </c>
      <c r="AI77" s="21">
        <f t="shared" si="79"/>
        <v>48787.65</v>
      </c>
    </row>
    <row r="78" spans="1:35" s="1" customFormat="1">
      <c r="A78" s="2">
        <v>6202</v>
      </c>
      <c r="B78" s="2" t="s">
        <v>25</v>
      </c>
      <c r="C78" s="37">
        <v>0</v>
      </c>
      <c r="D78" s="49">
        <f t="shared" si="80"/>
        <v>0</v>
      </c>
      <c r="E78" s="37">
        <v>0</v>
      </c>
      <c r="F78" s="49">
        <f t="shared" si="81"/>
        <v>0</v>
      </c>
      <c r="G78" s="37">
        <v>0</v>
      </c>
      <c r="H78" s="49">
        <f t="shared" si="82"/>
        <v>0</v>
      </c>
      <c r="I78" s="37">
        <v>0</v>
      </c>
      <c r="J78" s="49">
        <f t="shared" si="83"/>
        <v>0</v>
      </c>
      <c r="K78" s="37">
        <v>0</v>
      </c>
      <c r="L78" s="49">
        <f t="shared" si="84"/>
        <v>0</v>
      </c>
      <c r="M78" s="37">
        <v>0</v>
      </c>
      <c r="N78" s="49">
        <f t="shared" si="85"/>
        <v>0</v>
      </c>
      <c r="O78" s="37">
        <v>0</v>
      </c>
      <c r="P78" s="49">
        <f t="shared" si="86"/>
        <v>0</v>
      </c>
      <c r="Q78" s="37">
        <v>0</v>
      </c>
      <c r="R78" s="49">
        <f t="shared" si="87"/>
        <v>0</v>
      </c>
      <c r="S78" s="37">
        <v>0</v>
      </c>
      <c r="T78" s="49">
        <f t="shared" si="88"/>
        <v>0</v>
      </c>
      <c r="U78" s="37">
        <v>0</v>
      </c>
      <c r="V78" s="49">
        <f t="shared" si="89"/>
        <v>0</v>
      </c>
      <c r="W78" s="37">
        <v>0</v>
      </c>
      <c r="X78" s="49">
        <f t="shared" si="90"/>
        <v>0</v>
      </c>
      <c r="Y78" s="37">
        <v>0</v>
      </c>
      <c r="Z78" s="49">
        <f t="shared" si="91"/>
        <v>0</v>
      </c>
      <c r="AA78" s="105">
        <f t="shared" si="92"/>
        <v>0</v>
      </c>
      <c r="AB78" s="108">
        <f t="shared" si="93"/>
        <v>0</v>
      </c>
      <c r="AC78" s="89">
        <f t="shared" si="94"/>
        <v>0</v>
      </c>
      <c r="AD78" s="92">
        <f t="shared" si="95"/>
        <v>0</v>
      </c>
      <c r="AE78" s="214"/>
      <c r="AF78" s="54"/>
      <c r="AH78" s="289"/>
      <c r="AI78" s="21">
        <f t="shared" si="79"/>
        <v>0</v>
      </c>
    </row>
    <row r="79" spans="1:35" s="1" customFormat="1">
      <c r="A79" s="2">
        <v>6203</v>
      </c>
      <c r="B79" s="2" t="s">
        <v>26</v>
      </c>
      <c r="C79" s="37">
        <v>1065</v>
      </c>
      <c r="D79" s="49">
        <f t="shared" si="80"/>
        <v>7.4232581481584745E-3</v>
      </c>
      <c r="E79" s="37">
        <v>1065</v>
      </c>
      <c r="F79" s="49">
        <f t="shared" si="81"/>
        <v>9.5414718056227484E-3</v>
      </c>
      <c r="G79" s="37">
        <v>1065</v>
      </c>
      <c r="H79" s="49">
        <f t="shared" si="82"/>
        <v>5.7520915044095818E-3</v>
      </c>
      <c r="I79" s="37">
        <v>1065</v>
      </c>
      <c r="J79" s="49">
        <f t="shared" si="83"/>
        <v>6.5143022160417761E-3</v>
      </c>
      <c r="K79" s="37">
        <v>1065</v>
      </c>
      <c r="L79" s="49">
        <f t="shared" si="84"/>
        <v>7.1225550958116165E-3</v>
      </c>
      <c r="M79" s="37">
        <v>1065</v>
      </c>
      <c r="N79" s="49">
        <f t="shared" si="85"/>
        <v>5.0230075038507982E-3</v>
      </c>
      <c r="O79" s="37">
        <v>1065</v>
      </c>
      <c r="P79" s="49">
        <f t="shared" si="86"/>
        <v>7.9338556799952182E-3</v>
      </c>
      <c r="Q79" s="37">
        <v>1065</v>
      </c>
      <c r="R79" s="49">
        <f t="shared" si="87"/>
        <v>6.389310016741612E-3</v>
      </c>
      <c r="S79" s="37">
        <v>1065</v>
      </c>
      <c r="T79" s="49">
        <f t="shared" si="88"/>
        <v>6.3425069091063357E-3</v>
      </c>
      <c r="U79" s="37">
        <v>1065</v>
      </c>
      <c r="V79" s="49">
        <f t="shared" si="89"/>
        <v>7.9960346707888368E-3</v>
      </c>
      <c r="W79" s="37">
        <v>1065</v>
      </c>
      <c r="X79" s="49">
        <f t="shared" si="90"/>
        <v>7.8589623485621641E-3</v>
      </c>
      <c r="Y79" s="37">
        <v>1065</v>
      </c>
      <c r="Z79" s="49">
        <f t="shared" si="91"/>
        <v>5.2023249657496074E-3</v>
      </c>
      <c r="AA79" s="105">
        <f t="shared" si="92"/>
        <v>12780</v>
      </c>
      <c r="AB79" s="108">
        <f t="shared" si="93"/>
        <v>6.69977308581417E-3</v>
      </c>
      <c r="AC79" s="89">
        <f t="shared" si="94"/>
        <v>1065</v>
      </c>
      <c r="AD79" s="92">
        <f t="shared" si="95"/>
        <v>6.6997730858141692E-3</v>
      </c>
      <c r="AE79" s="214"/>
      <c r="AF79" s="54"/>
      <c r="AH79" s="289"/>
      <c r="AI79" s="21">
        <f t="shared" si="79"/>
        <v>5420.8499999999995</v>
      </c>
    </row>
    <row r="80" spans="1:35" s="1" customFormat="1">
      <c r="A80" s="2">
        <v>6204</v>
      </c>
      <c r="B80" s="2" t="s">
        <v>27</v>
      </c>
      <c r="C80" s="46"/>
      <c r="D80" s="49">
        <f t="shared" si="80"/>
        <v>0</v>
      </c>
      <c r="E80" s="46"/>
      <c r="F80" s="49">
        <f t="shared" si="81"/>
        <v>0</v>
      </c>
      <c r="G80" s="46"/>
      <c r="H80" s="49">
        <f t="shared" si="82"/>
        <v>0</v>
      </c>
      <c r="I80" s="46"/>
      <c r="J80" s="49">
        <f t="shared" si="83"/>
        <v>0</v>
      </c>
      <c r="K80" s="46"/>
      <c r="L80" s="49">
        <f t="shared" si="84"/>
        <v>0</v>
      </c>
      <c r="M80" s="46"/>
      <c r="N80" s="49">
        <f t="shared" si="85"/>
        <v>0</v>
      </c>
      <c r="O80" s="46"/>
      <c r="P80" s="49">
        <f t="shared" si="86"/>
        <v>0</v>
      </c>
      <c r="Q80" s="46"/>
      <c r="R80" s="49">
        <f t="shared" si="87"/>
        <v>0</v>
      </c>
      <c r="S80" s="46"/>
      <c r="T80" s="49">
        <f t="shared" si="88"/>
        <v>0</v>
      </c>
      <c r="U80" s="46"/>
      <c r="V80" s="49">
        <f t="shared" si="89"/>
        <v>0</v>
      </c>
      <c r="W80" s="46"/>
      <c r="X80" s="49">
        <f t="shared" si="90"/>
        <v>0</v>
      </c>
      <c r="Y80" s="46"/>
      <c r="Z80" s="49">
        <f t="shared" si="91"/>
        <v>0</v>
      </c>
      <c r="AA80" s="105">
        <f t="shared" si="92"/>
        <v>0</v>
      </c>
      <c r="AB80" s="108">
        <f t="shared" si="93"/>
        <v>0</v>
      </c>
      <c r="AC80" s="89">
        <f t="shared" si="94"/>
        <v>0</v>
      </c>
      <c r="AD80" s="92">
        <f t="shared" si="95"/>
        <v>0</v>
      </c>
      <c r="AE80" s="214"/>
      <c r="AF80" s="54"/>
      <c r="AH80" s="289"/>
      <c r="AI80" s="21">
        <f t="shared" si="79"/>
        <v>0</v>
      </c>
    </row>
    <row r="81" spans="1:35" s="1" customFormat="1">
      <c r="A81" s="2">
        <v>6205</v>
      </c>
      <c r="B81" s="2" t="s">
        <v>28</v>
      </c>
      <c r="C81" s="46"/>
      <c r="D81" s="49">
        <f t="shared" si="80"/>
        <v>0</v>
      </c>
      <c r="E81" s="46"/>
      <c r="F81" s="49">
        <f t="shared" si="81"/>
        <v>0</v>
      </c>
      <c r="G81" s="46"/>
      <c r="H81" s="49">
        <f t="shared" si="82"/>
        <v>0</v>
      </c>
      <c r="I81" s="46"/>
      <c r="J81" s="49">
        <f t="shared" si="83"/>
        <v>0</v>
      </c>
      <c r="K81" s="46"/>
      <c r="L81" s="49">
        <f t="shared" si="84"/>
        <v>0</v>
      </c>
      <c r="M81" s="46"/>
      <c r="N81" s="49">
        <f t="shared" si="85"/>
        <v>0</v>
      </c>
      <c r="O81" s="46"/>
      <c r="P81" s="49">
        <f t="shared" si="86"/>
        <v>0</v>
      </c>
      <c r="Q81" s="46"/>
      <c r="R81" s="49">
        <f t="shared" si="87"/>
        <v>0</v>
      </c>
      <c r="S81" s="46"/>
      <c r="T81" s="49">
        <f t="shared" si="88"/>
        <v>0</v>
      </c>
      <c r="U81" s="46"/>
      <c r="V81" s="49">
        <f t="shared" si="89"/>
        <v>0</v>
      </c>
      <c r="W81" s="46"/>
      <c r="X81" s="49">
        <f t="shared" si="90"/>
        <v>0</v>
      </c>
      <c r="Y81" s="46"/>
      <c r="Z81" s="49">
        <f t="shared" si="91"/>
        <v>0</v>
      </c>
      <c r="AA81" s="105">
        <f t="shared" si="92"/>
        <v>0</v>
      </c>
      <c r="AB81" s="108">
        <f t="shared" si="93"/>
        <v>0</v>
      </c>
      <c r="AC81" s="89">
        <f t="shared" si="94"/>
        <v>0</v>
      </c>
      <c r="AD81" s="92">
        <f t="shared" si="95"/>
        <v>0</v>
      </c>
      <c r="AE81" s="214"/>
      <c r="AF81" s="54"/>
      <c r="AH81" s="289"/>
      <c r="AI81" s="21">
        <f t="shared" si="79"/>
        <v>0</v>
      </c>
    </row>
    <row r="82" spans="1:35" s="1" customFormat="1">
      <c r="A82" s="2">
        <v>6206</v>
      </c>
      <c r="B82" s="2" t="s">
        <v>193</v>
      </c>
      <c r="C82" s="46">
        <v>382</v>
      </c>
      <c r="D82" s="49">
        <f t="shared" si="80"/>
        <v>2.6626146597150584E-3</v>
      </c>
      <c r="E82" s="46">
        <v>382</v>
      </c>
      <c r="F82" s="49">
        <f t="shared" si="81"/>
        <v>3.4223870701858123E-3</v>
      </c>
      <c r="G82" s="46">
        <v>382</v>
      </c>
      <c r="H82" s="49">
        <f t="shared" si="82"/>
        <v>2.0631915067459718E-3</v>
      </c>
      <c r="I82" s="46">
        <v>382</v>
      </c>
      <c r="J82" s="49">
        <f t="shared" si="83"/>
        <v>2.3365853958008998E-3</v>
      </c>
      <c r="K82" s="46">
        <v>382</v>
      </c>
      <c r="L82" s="49">
        <f t="shared" si="84"/>
        <v>2.5547568512676406E-3</v>
      </c>
      <c r="M82" s="46">
        <v>382</v>
      </c>
      <c r="N82" s="49">
        <f t="shared" si="85"/>
        <v>1.8016796868272349E-3</v>
      </c>
      <c r="O82" s="46">
        <v>382</v>
      </c>
      <c r="P82" s="49">
        <f t="shared" si="86"/>
        <v>2.845758563153214E-3</v>
      </c>
      <c r="Q82" s="46">
        <v>382</v>
      </c>
      <c r="R82" s="49">
        <f t="shared" si="87"/>
        <v>2.291752513047226E-3</v>
      </c>
      <c r="S82" s="46">
        <v>382</v>
      </c>
      <c r="T82" s="49">
        <f t="shared" si="88"/>
        <v>2.2749649195104413E-3</v>
      </c>
      <c r="U82" s="46">
        <v>382</v>
      </c>
      <c r="V82" s="49">
        <f t="shared" si="89"/>
        <v>2.8680612621984369E-3</v>
      </c>
      <c r="W82" s="46">
        <v>382</v>
      </c>
      <c r="X82" s="49">
        <f t="shared" si="90"/>
        <v>2.8188954151650205E-3</v>
      </c>
      <c r="Y82" s="46">
        <v>382</v>
      </c>
      <c r="Z82" s="49">
        <f t="shared" si="91"/>
        <v>1.8659982506256808E-3</v>
      </c>
      <c r="AA82" s="105">
        <f t="shared" si="92"/>
        <v>4584</v>
      </c>
      <c r="AB82" s="108">
        <f t="shared" si="93"/>
        <v>2.4031110974469605E-3</v>
      </c>
      <c r="AC82" s="89">
        <f t="shared" si="94"/>
        <v>382</v>
      </c>
      <c r="AD82" s="92">
        <f t="shared" si="95"/>
        <v>2.4031110974469601E-3</v>
      </c>
      <c r="AE82" s="309">
        <f>5*200</f>
        <v>1000</v>
      </c>
      <c r="AF82" s="54"/>
      <c r="AH82" s="289"/>
      <c r="AI82" s="21">
        <f t="shared" si="79"/>
        <v>1944.3799999999999</v>
      </c>
    </row>
    <row r="83" spans="1:35" s="1" customFormat="1">
      <c r="A83" s="2">
        <v>6207</v>
      </c>
      <c r="B83" s="2" t="s">
        <v>194</v>
      </c>
      <c r="C83" s="46"/>
      <c r="D83" s="49">
        <f t="shared" si="80"/>
        <v>0</v>
      </c>
      <c r="E83" s="46"/>
      <c r="F83" s="49">
        <f t="shared" si="81"/>
        <v>0</v>
      </c>
      <c r="G83" s="46"/>
      <c r="H83" s="49">
        <f t="shared" si="82"/>
        <v>0</v>
      </c>
      <c r="I83" s="46"/>
      <c r="J83" s="49">
        <f t="shared" si="83"/>
        <v>0</v>
      </c>
      <c r="K83" s="46"/>
      <c r="L83" s="49">
        <f t="shared" si="84"/>
        <v>0</v>
      </c>
      <c r="M83" s="46"/>
      <c r="N83" s="49">
        <f t="shared" si="85"/>
        <v>0</v>
      </c>
      <c r="O83" s="46"/>
      <c r="P83" s="49">
        <f t="shared" si="86"/>
        <v>0</v>
      </c>
      <c r="Q83" s="46"/>
      <c r="R83" s="49">
        <f t="shared" si="87"/>
        <v>0</v>
      </c>
      <c r="S83" s="46"/>
      <c r="T83" s="49">
        <f t="shared" si="88"/>
        <v>0</v>
      </c>
      <c r="U83" s="46"/>
      <c r="V83" s="49">
        <f t="shared" si="89"/>
        <v>0</v>
      </c>
      <c r="W83" s="46"/>
      <c r="X83" s="49">
        <f t="shared" si="90"/>
        <v>0</v>
      </c>
      <c r="Y83" s="46"/>
      <c r="Z83" s="49">
        <f t="shared" si="91"/>
        <v>0</v>
      </c>
      <c r="AA83" s="105">
        <f t="shared" si="92"/>
        <v>0</v>
      </c>
      <c r="AB83" s="108">
        <f t="shared" si="93"/>
        <v>0</v>
      </c>
      <c r="AC83" s="89">
        <f t="shared" si="94"/>
        <v>0</v>
      </c>
      <c r="AD83" s="92">
        <f t="shared" si="95"/>
        <v>0</v>
      </c>
      <c r="AE83" s="214"/>
      <c r="AF83" s="54"/>
      <c r="AH83" s="289"/>
      <c r="AI83" s="21">
        <f t="shared" si="79"/>
        <v>0</v>
      </c>
    </row>
    <row r="84" spans="1:35" s="1" customFormat="1">
      <c r="A84" s="2">
        <v>6208</v>
      </c>
      <c r="B84" s="2" t="s">
        <v>195</v>
      </c>
      <c r="C84" s="46"/>
      <c r="D84" s="49">
        <f t="shared" si="80"/>
        <v>0</v>
      </c>
      <c r="E84" s="46"/>
      <c r="F84" s="49">
        <f t="shared" si="81"/>
        <v>0</v>
      </c>
      <c r="G84" s="46"/>
      <c r="H84" s="49">
        <f t="shared" si="82"/>
        <v>0</v>
      </c>
      <c r="I84" s="46"/>
      <c r="J84" s="49">
        <f t="shared" si="83"/>
        <v>0</v>
      </c>
      <c r="K84" s="46"/>
      <c r="L84" s="49">
        <f t="shared" si="84"/>
        <v>0</v>
      </c>
      <c r="M84" s="46"/>
      <c r="N84" s="49">
        <f t="shared" si="85"/>
        <v>0</v>
      </c>
      <c r="O84" s="46"/>
      <c r="P84" s="49">
        <f t="shared" si="86"/>
        <v>0</v>
      </c>
      <c r="Q84" s="46"/>
      <c r="R84" s="49">
        <f t="shared" si="87"/>
        <v>0</v>
      </c>
      <c r="S84" s="46"/>
      <c r="T84" s="49">
        <f t="shared" si="88"/>
        <v>0</v>
      </c>
      <c r="U84" s="46"/>
      <c r="V84" s="49">
        <f t="shared" si="89"/>
        <v>0</v>
      </c>
      <c r="W84" s="46"/>
      <c r="X84" s="49">
        <f t="shared" si="90"/>
        <v>0</v>
      </c>
      <c r="Y84" s="46"/>
      <c r="Z84" s="49">
        <f t="shared" si="91"/>
        <v>0</v>
      </c>
      <c r="AA84" s="105">
        <f t="shared" si="92"/>
        <v>0</v>
      </c>
      <c r="AB84" s="108">
        <f t="shared" si="93"/>
        <v>0</v>
      </c>
      <c r="AC84" s="89">
        <f t="shared" si="94"/>
        <v>0</v>
      </c>
      <c r="AD84" s="92">
        <f t="shared" si="95"/>
        <v>0</v>
      </c>
      <c r="AE84" s="214"/>
      <c r="AF84" s="54"/>
      <c r="AH84" s="289"/>
      <c r="AI84" s="21">
        <f t="shared" si="79"/>
        <v>0</v>
      </c>
    </row>
    <row r="85" spans="1:35" s="1" customFormat="1">
      <c r="A85" s="2">
        <v>6209</v>
      </c>
      <c r="B85" s="128" t="s">
        <v>29</v>
      </c>
      <c r="C85" s="46">
        <v>414.16666666666663</v>
      </c>
      <c r="D85" s="49">
        <f t="shared" si="80"/>
        <v>2.8868226131727398E-3</v>
      </c>
      <c r="E85" s="46">
        <v>414.16666666666663</v>
      </c>
      <c r="F85" s="49">
        <f t="shared" si="81"/>
        <v>3.7105723688532909E-3</v>
      </c>
      <c r="G85" s="46">
        <v>414.16666666666663</v>
      </c>
      <c r="H85" s="49">
        <f t="shared" si="82"/>
        <v>2.2369244739370592E-3</v>
      </c>
      <c r="I85" s="46">
        <v>414.16666666666663</v>
      </c>
      <c r="J85" s="49">
        <f t="shared" si="83"/>
        <v>2.5333397506829124E-3</v>
      </c>
      <c r="K85" s="46">
        <v>414.16666666666663</v>
      </c>
      <c r="L85" s="49">
        <f t="shared" si="84"/>
        <v>2.7698825372600728E-3</v>
      </c>
      <c r="M85" s="46">
        <v>414.16666666666663</v>
      </c>
      <c r="N85" s="49">
        <f t="shared" si="85"/>
        <v>1.9533918070530881E-3</v>
      </c>
      <c r="O85" s="46">
        <v>414.16666666666663</v>
      </c>
      <c r="P85" s="49">
        <f t="shared" si="86"/>
        <v>3.0853883199981401E-3</v>
      </c>
      <c r="Q85" s="46">
        <v>414.16666666666663</v>
      </c>
      <c r="R85" s="49">
        <f t="shared" si="87"/>
        <v>2.4847316731772934E-3</v>
      </c>
      <c r="S85" s="46">
        <v>414.16666666666663</v>
      </c>
      <c r="T85" s="49">
        <f t="shared" si="88"/>
        <v>2.4665304646524634E-3</v>
      </c>
      <c r="U85" s="46">
        <v>414.16666666666663</v>
      </c>
      <c r="V85" s="49">
        <f t="shared" si="89"/>
        <v>3.1095690386401028E-3</v>
      </c>
      <c r="W85" s="46">
        <v>414.16666666666663</v>
      </c>
      <c r="X85" s="49">
        <f t="shared" si="90"/>
        <v>3.0562631355519529E-3</v>
      </c>
      <c r="Y85" s="46">
        <v>414.16666666666663</v>
      </c>
      <c r="Z85" s="49">
        <f t="shared" si="91"/>
        <v>2.0231263755692915E-3</v>
      </c>
      <c r="AA85" s="105">
        <f t="shared" si="92"/>
        <v>4970</v>
      </c>
      <c r="AB85" s="108">
        <f t="shared" si="93"/>
        <v>2.605467311149955E-3</v>
      </c>
      <c r="AC85" s="89">
        <f t="shared" si="94"/>
        <v>414.16666666666669</v>
      </c>
      <c r="AD85" s="92">
        <f t="shared" si="95"/>
        <v>2.605467311149955E-3</v>
      </c>
      <c r="AE85" s="214"/>
      <c r="AF85" s="54"/>
      <c r="AH85" s="289"/>
      <c r="AI85" s="21">
        <f t="shared" si="79"/>
        <v>2108.1083333333331</v>
      </c>
    </row>
    <row r="86" spans="1:35" s="1" customFormat="1">
      <c r="A86" s="2">
        <v>6210</v>
      </c>
      <c r="B86" s="2" t="s">
        <v>30</v>
      </c>
      <c r="C86" s="46"/>
      <c r="D86" s="49">
        <f t="shared" si="80"/>
        <v>0</v>
      </c>
      <c r="E86" s="46"/>
      <c r="F86" s="49">
        <f t="shared" si="81"/>
        <v>0</v>
      </c>
      <c r="G86" s="46"/>
      <c r="H86" s="49">
        <f t="shared" si="82"/>
        <v>0</v>
      </c>
      <c r="I86" s="46"/>
      <c r="J86" s="49">
        <f t="shared" si="83"/>
        <v>0</v>
      </c>
      <c r="K86" s="46"/>
      <c r="L86" s="49">
        <f t="shared" si="84"/>
        <v>0</v>
      </c>
      <c r="M86" s="46"/>
      <c r="N86" s="49">
        <f t="shared" si="85"/>
        <v>0</v>
      </c>
      <c r="O86" s="46"/>
      <c r="P86" s="49">
        <f t="shared" si="86"/>
        <v>0</v>
      </c>
      <c r="Q86" s="46"/>
      <c r="R86" s="49">
        <f t="shared" si="87"/>
        <v>0</v>
      </c>
      <c r="S86" s="46"/>
      <c r="T86" s="49">
        <f t="shared" si="88"/>
        <v>0</v>
      </c>
      <c r="U86" s="46"/>
      <c r="V86" s="49">
        <f t="shared" si="89"/>
        <v>0</v>
      </c>
      <c r="W86" s="46"/>
      <c r="X86" s="49">
        <f t="shared" si="90"/>
        <v>0</v>
      </c>
      <c r="Y86" s="46"/>
      <c r="Z86" s="49">
        <f t="shared" si="91"/>
        <v>0</v>
      </c>
      <c r="AA86" s="105">
        <f t="shared" si="92"/>
        <v>0</v>
      </c>
      <c r="AB86" s="108">
        <f t="shared" si="93"/>
        <v>0</v>
      </c>
      <c r="AC86" s="89">
        <f t="shared" si="94"/>
        <v>0</v>
      </c>
      <c r="AD86" s="92">
        <f t="shared" si="95"/>
        <v>0</v>
      </c>
      <c r="AE86" s="214"/>
      <c r="AF86" s="54"/>
      <c r="AH86" s="289"/>
      <c r="AI86" s="21">
        <f t="shared" si="79"/>
        <v>0</v>
      </c>
    </row>
    <row r="87" spans="1:35" s="1" customFormat="1">
      <c r="A87" s="2">
        <v>6211</v>
      </c>
      <c r="B87" s="2" t="s">
        <v>31</v>
      </c>
      <c r="C87" s="46"/>
      <c r="D87" s="49">
        <f t="shared" si="80"/>
        <v>0</v>
      </c>
      <c r="E87" s="46"/>
      <c r="F87" s="49">
        <f t="shared" si="81"/>
        <v>0</v>
      </c>
      <c r="G87" s="46"/>
      <c r="H87" s="49">
        <f t="shared" si="82"/>
        <v>0</v>
      </c>
      <c r="I87" s="46"/>
      <c r="J87" s="49">
        <f t="shared" si="83"/>
        <v>0</v>
      </c>
      <c r="K87" s="46"/>
      <c r="L87" s="49">
        <f t="shared" si="84"/>
        <v>0</v>
      </c>
      <c r="M87" s="46"/>
      <c r="N87" s="49">
        <f t="shared" si="85"/>
        <v>0</v>
      </c>
      <c r="O87" s="46"/>
      <c r="P87" s="49">
        <f t="shared" si="86"/>
        <v>0</v>
      </c>
      <c r="Q87" s="46"/>
      <c r="R87" s="49">
        <f t="shared" si="87"/>
        <v>0</v>
      </c>
      <c r="S87" s="46"/>
      <c r="T87" s="49">
        <f t="shared" si="88"/>
        <v>0</v>
      </c>
      <c r="U87" s="46"/>
      <c r="V87" s="49">
        <f t="shared" si="89"/>
        <v>0</v>
      </c>
      <c r="W87" s="46"/>
      <c r="X87" s="49">
        <f t="shared" si="90"/>
        <v>0</v>
      </c>
      <c r="Y87" s="46"/>
      <c r="Z87" s="49">
        <f t="shared" si="91"/>
        <v>0</v>
      </c>
      <c r="AA87" s="105">
        <f t="shared" si="92"/>
        <v>0</v>
      </c>
      <c r="AB87" s="108">
        <f t="shared" si="93"/>
        <v>0</v>
      </c>
      <c r="AC87" s="89">
        <f t="shared" si="94"/>
        <v>0</v>
      </c>
      <c r="AD87" s="92">
        <f t="shared" si="95"/>
        <v>0</v>
      </c>
      <c r="AE87" s="214"/>
      <c r="AF87" s="54"/>
      <c r="AH87" s="289"/>
      <c r="AI87" s="21">
        <f t="shared" si="79"/>
        <v>0</v>
      </c>
    </row>
    <row r="88" spans="1:35" s="1" customFormat="1">
      <c r="A88" s="2">
        <v>6212</v>
      </c>
      <c r="B88" s="2" t="s">
        <v>32</v>
      </c>
      <c r="C88" s="55">
        <v>25</v>
      </c>
      <c r="D88" s="49">
        <f t="shared" si="80"/>
        <v>1.7425488610700644E-4</v>
      </c>
      <c r="E88" s="55">
        <v>25</v>
      </c>
      <c r="F88" s="49">
        <f t="shared" si="81"/>
        <v>2.2397821139959504E-4</v>
      </c>
      <c r="G88" s="55">
        <v>25</v>
      </c>
      <c r="H88" s="49">
        <f t="shared" si="82"/>
        <v>1.35025622169239E-4</v>
      </c>
      <c r="I88" s="55">
        <v>25</v>
      </c>
      <c r="J88" s="49">
        <f t="shared" si="83"/>
        <v>1.5291789239534685E-4</v>
      </c>
      <c r="K88" s="55">
        <v>25</v>
      </c>
      <c r="L88" s="49">
        <f t="shared" si="84"/>
        <v>1.6719612900966234E-4</v>
      </c>
      <c r="M88" s="55">
        <v>25</v>
      </c>
      <c r="N88" s="49">
        <f t="shared" si="85"/>
        <v>1.1791097426879808E-4</v>
      </c>
      <c r="O88" s="55">
        <v>25</v>
      </c>
      <c r="P88" s="49">
        <f t="shared" si="86"/>
        <v>1.8624074366185956E-4</v>
      </c>
      <c r="Q88" s="55">
        <v>25</v>
      </c>
      <c r="R88" s="49">
        <f t="shared" si="87"/>
        <v>1.4998380320989699E-4</v>
      </c>
      <c r="S88" s="55">
        <v>25</v>
      </c>
      <c r="T88" s="49">
        <f t="shared" si="88"/>
        <v>1.4888513871141632E-4</v>
      </c>
      <c r="U88" s="55">
        <v>25</v>
      </c>
      <c r="V88" s="49">
        <f t="shared" si="89"/>
        <v>1.8770034438471447E-4</v>
      </c>
      <c r="W88" s="55">
        <v>25</v>
      </c>
      <c r="X88" s="49">
        <f t="shared" si="90"/>
        <v>1.8448268423854847E-4</v>
      </c>
      <c r="Y88" s="55">
        <v>25</v>
      </c>
      <c r="Z88" s="49">
        <f t="shared" si="91"/>
        <v>1.2212030436031942E-4</v>
      </c>
      <c r="AA88" s="105">
        <f t="shared" si="92"/>
        <v>300</v>
      </c>
      <c r="AB88" s="108">
        <f t="shared" si="93"/>
        <v>1.5727166868108379E-4</v>
      </c>
      <c r="AC88" s="290">
        <f t="shared" si="94"/>
        <v>25</v>
      </c>
      <c r="AD88" s="92">
        <f t="shared" si="95"/>
        <v>1.5727166868108379E-4</v>
      </c>
      <c r="AE88" s="214"/>
      <c r="AF88" s="54"/>
      <c r="AH88" s="289"/>
      <c r="AI88" s="21">
        <f t="shared" si="79"/>
        <v>127.25</v>
      </c>
    </row>
    <row r="89" spans="1:35" s="1" customFormat="1">
      <c r="A89" s="2">
        <v>6213</v>
      </c>
      <c r="B89" s="2" t="s">
        <v>33</v>
      </c>
      <c r="C89" s="55"/>
      <c r="D89" s="49">
        <f t="shared" si="80"/>
        <v>0</v>
      </c>
      <c r="E89" s="55"/>
      <c r="F89" s="49">
        <f t="shared" si="81"/>
        <v>0</v>
      </c>
      <c r="G89" s="55"/>
      <c r="H89" s="49">
        <f t="shared" si="82"/>
        <v>0</v>
      </c>
      <c r="I89" s="55"/>
      <c r="J89" s="49">
        <f t="shared" si="83"/>
        <v>0</v>
      </c>
      <c r="K89" s="55"/>
      <c r="L89" s="49">
        <f t="shared" si="84"/>
        <v>0</v>
      </c>
      <c r="M89" s="55"/>
      <c r="N89" s="49">
        <f t="shared" si="85"/>
        <v>0</v>
      </c>
      <c r="O89" s="55"/>
      <c r="P89" s="49">
        <f t="shared" si="86"/>
        <v>0</v>
      </c>
      <c r="Q89" s="55"/>
      <c r="R89" s="49">
        <f t="shared" si="87"/>
        <v>0</v>
      </c>
      <c r="S89" s="55"/>
      <c r="T89" s="49">
        <f t="shared" si="88"/>
        <v>0</v>
      </c>
      <c r="U89" s="55"/>
      <c r="V89" s="49">
        <f t="shared" si="89"/>
        <v>0</v>
      </c>
      <c r="W89" s="55"/>
      <c r="X89" s="49">
        <f t="shared" si="90"/>
        <v>0</v>
      </c>
      <c r="Y89" s="55"/>
      <c r="Z89" s="49">
        <f t="shared" si="91"/>
        <v>0</v>
      </c>
      <c r="AA89" s="105">
        <f t="shared" si="92"/>
        <v>0</v>
      </c>
      <c r="AB89" s="108">
        <f t="shared" si="93"/>
        <v>0</v>
      </c>
      <c r="AC89" s="89">
        <f t="shared" si="94"/>
        <v>0</v>
      </c>
      <c r="AD89" s="92">
        <f t="shared" si="95"/>
        <v>0</v>
      </c>
      <c r="AE89" s="214"/>
      <c r="AF89" s="54"/>
      <c r="AH89" s="289"/>
      <c r="AI89" s="21">
        <f t="shared" si="79"/>
        <v>0</v>
      </c>
    </row>
    <row r="90" spans="1:35" s="1" customFormat="1">
      <c r="A90" s="128">
        <v>6214</v>
      </c>
      <c r="B90" s="128" t="s">
        <v>34</v>
      </c>
      <c r="C90" s="55">
        <v>532.5</v>
      </c>
      <c r="D90" s="49">
        <f t="shared" si="80"/>
        <v>3.7116290740792372E-3</v>
      </c>
      <c r="E90" s="55">
        <v>532.5</v>
      </c>
      <c r="F90" s="49">
        <f t="shared" si="81"/>
        <v>4.7707359028113742E-3</v>
      </c>
      <c r="G90" s="55">
        <v>532.5</v>
      </c>
      <c r="H90" s="49">
        <f t="shared" si="82"/>
        <v>2.8760457522047909E-3</v>
      </c>
      <c r="I90" s="55">
        <v>532.5</v>
      </c>
      <c r="J90" s="49">
        <f t="shared" si="83"/>
        <v>3.257151108020888E-3</v>
      </c>
      <c r="K90" s="55">
        <v>532.5</v>
      </c>
      <c r="L90" s="49">
        <f t="shared" si="84"/>
        <v>3.5612775479058082E-3</v>
      </c>
      <c r="M90" s="55">
        <v>532.5</v>
      </c>
      <c r="N90" s="49">
        <f t="shared" si="85"/>
        <v>2.5115037519253991E-3</v>
      </c>
      <c r="O90" s="55">
        <v>532.5</v>
      </c>
      <c r="P90" s="49">
        <f t="shared" si="86"/>
        <v>3.9669278399976091E-3</v>
      </c>
      <c r="Q90" s="55">
        <v>532.5</v>
      </c>
      <c r="R90" s="49">
        <f t="shared" si="87"/>
        <v>3.194655008370806E-3</v>
      </c>
      <c r="S90" s="55">
        <v>532.5</v>
      </c>
      <c r="T90" s="49">
        <f t="shared" si="88"/>
        <v>3.1712534545531679E-3</v>
      </c>
      <c r="U90" s="55">
        <v>532.5</v>
      </c>
      <c r="V90" s="49">
        <f t="shared" si="89"/>
        <v>3.9980173353944184E-3</v>
      </c>
      <c r="W90" s="55">
        <v>532.5</v>
      </c>
      <c r="X90" s="49">
        <f t="shared" si="90"/>
        <v>3.929481174281082E-3</v>
      </c>
      <c r="Y90" s="55">
        <v>532.5</v>
      </c>
      <c r="Z90" s="49">
        <f t="shared" si="91"/>
        <v>2.6011624828748037E-3</v>
      </c>
      <c r="AA90" s="105">
        <f t="shared" si="92"/>
        <v>6390</v>
      </c>
      <c r="AB90" s="108">
        <f t="shared" si="93"/>
        <v>3.349886542907085E-3</v>
      </c>
      <c r="AC90" s="89">
        <f t="shared" si="94"/>
        <v>532.5</v>
      </c>
      <c r="AD90" s="92">
        <f t="shared" si="95"/>
        <v>3.3498865429070846E-3</v>
      </c>
      <c r="AE90" s="214"/>
      <c r="AF90" s="54"/>
      <c r="AH90" s="289"/>
      <c r="AI90" s="21">
        <f t="shared" si="79"/>
        <v>2710.4249999999997</v>
      </c>
    </row>
    <row r="91" spans="1:35" s="1" customFormat="1">
      <c r="A91" s="2">
        <v>6215</v>
      </c>
      <c r="B91" s="128" t="s">
        <v>294</v>
      </c>
      <c r="C91" s="46">
        <v>1464.375</v>
      </c>
      <c r="D91" s="49">
        <f t="shared" si="80"/>
        <v>1.0206979953717903E-2</v>
      </c>
      <c r="E91" s="46">
        <v>1464.375</v>
      </c>
      <c r="F91" s="49">
        <f t="shared" si="81"/>
        <v>1.3119523732731279E-2</v>
      </c>
      <c r="G91" s="46">
        <v>1464.375</v>
      </c>
      <c r="H91" s="49">
        <f t="shared" si="82"/>
        <v>7.9091258185631751E-3</v>
      </c>
      <c r="I91" s="46">
        <v>1464.375</v>
      </c>
      <c r="J91" s="49">
        <f t="shared" si="83"/>
        <v>8.9571655470574423E-3</v>
      </c>
      <c r="K91" s="46">
        <v>1464.375</v>
      </c>
      <c r="L91" s="49">
        <f t="shared" si="84"/>
        <v>9.7935132567409725E-3</v>
      </c>
      <c r="M91" s="46">
        <v>1464.375</v>
      </c>
      <c r="N91" s="49">
        <f t="shared" si="85"/>
        <v>6.9066353177948481E-3</v>
      </c>
      <c r="O91" s="46">
        <v>1464.375</v>
      </c>
      <c r="P91" s="49">
        <f t="shared" si="86"/>
        <v>1.0909051559993424E-2</v>
      </c>
      <c r="Q91" s="46">
        <v>1464.375</v>
      </c>
      <c r="R91" s="49">
        <f t="shared" si="87"/>
        <v>8.7853012730197168E-3</v>
      </c>
      <c r="S91" s="46">
        <v>1464.375</v>
      </c>
      <c r="T91" s="49">
        <f t="shared" si="88"/>
        <v>8.7209470000212102E-3</v>
      </c>
      <c r="U91" s="46">
        <v>1464.375</v>
      </c>
      <c r="V91" s="49">
        <f t="shared" si="89"/>
        <v>1.099454767233465E-2</v>
      </c>
      <c r="W91" s="46">
        <v>1464.375</v>
      </c>
      <c r="X91" s="49">
        <f t="shared" si="90"/>
        <v>1.0806073229272977E-2</v>
      </c>
      <c r="Y91" s="46">
        <v>1464.375</v>
      </c>
      <c r="Z91" s="49">
        <f t="shared" si="91"/>
        <v>7.1531968279057098E-3</v>
      </c>
      <c r="AA91" s="105">
        <f t="shared" si="92"/>
        <v>17572.5</v>
      </c>
      <c r="AB91" s="108">
        <f t="shared" si="93"/>
        <v>9.2121879929944837E-3</v>
      </c>
      <c r="AC91" s="89">
        <f t="shared" si="94"/>
        <v>1464.375</v>
      </c>
      <c r="AD91" s="92">
        <f t="shared" si="95"/>
        <v>9.2121879929944837E-3</v>
      </c>
      <c r="AE91" s="214"/>
      <c r="AF91" s="54"/>
      <c r="AH91" s="289"/>
      <c r="AI91" s="21">
        <f t="shared" si="79"/>
        <v>7453.6687499999998</v>
      </c>
    </row>
    <row r="92" spans="1:35" s="1" customFormat="1">
      <c r="A92" s="2">
        <v>6216</v>
      </c>
      <c r="B92" s="128" t="s">
        <v>91</v>
      </c>
      <c r="C92" s="46"/>
      <c r="D92" s="49">
        <f t="shared" si="80"/>
        <v>0</v>
      </c>
      <c r="E92" s="46">
        <v>0</v>
      </c>
      <c r="F92" s="49">
        <f t="shared" si="81"/>
        <v>0</v>
      </c>
      <c r="G92" s="46">
        <v>0</v>
      </c>
      <c r="H92" s="49">
        <f t="shared" si="82"/>
        <v>0</v>
      </c>
      <c r="I92" s="46">
        <v>0</v>
      </c>
      <c r="J92" s="49">
        <f t="shared" si="83"/>
        <v>0</v>
      </c>
      <c r="K92" s="46">
        <v>0</v>
      </c>
      <c r="L92" s="49">
        <f t="shared" si="84"/>
        <v>0</v>
      </c>
      <c r="M92" s="46">
        <v>0</v>
      </c>
      <c r="N92" s="49">
        <f t="shared" si="85"/>
        <v>0</v>
      </c>
      <c r="O92" s="46">
        <v>0</v>
      </c>
      <c r="P92" s="49">
        <f t="shared" si="86"/>
        <v>0</v>
      </c>
      <c r="Q92" s="46">
        <v>0</v>
      </c>
      <c r="R92" s="49">
        <f t="shared" si="87"/>
        <v>0</v>
      </c>
      <c r="S92" s="46">
        <v>0</v>
      </c>
      <c r="T92" s="49">
        <f t="shared" si="88"/>
        <v>0</v>
      </c>
      <c r="U92" s="46">
        <v>0</v>
      </c>
      <c r="V92" s="49">
        <f t="shared" si="89"/>
        <v>0</v>
      </c>
      <c r="W92" s="46">
        <v>0</v>
      </c>
      <c r="X92" s="49">
        <f t="shared" si="90"/>
        <v>0</v>
      </c>
      <c r="Y92" s="46">
        <v>0</v>
      </c>
      <c r="Z92" s="49">
        <f t="shared" si="91"/>
        <v>0</v>
      </c>
      <c r="AA92" s="105">
        <f t="shared" si="92"/>
        <v>0</v>
      </c>
      <c r="AB92" s="108">
        <f t="shared" si="93"/>
        <v>0</v>
      </c>
      <c r="AC92" s="89">
        <f t="shared" si="94"/>
        <v>0</v>
      </c>
      <c r="AD92" s="92">
        <f t="shared" si="95"/>
        <v>0</v>
      </c>
      <c r="AE92" s="214"/>
      <c r="AF92" s="54"/>
      <c r="AH92" s="289"/>
      <c r="AI92" s="21">
        <f t="shared" si="79"/>
        <v>0</v>
      </c>
    </row>
    <row r="93" spans="1:35" s="1" customFormat="1" ht="15.75" thickBot="1">
      <c r="A93" s="4">
        <v>6299</v>
      </c>
      <c r="B93" s="4" t="s">
        <v>114</v>
      </c>
      <c r="C93" s="59">
        <f>SUM(C77:C92)</f>
        <v>13468.041666666666</v>
      </c>
      <c r="D93" s="69">
        <f>C93/C12</f>
        <v>9.387488266837668E-2</v>
      </c>
      <c r="E93" s="59">
        <f>SUM(E77:E92)</f>
        <v>13468.041666666666</v>
      </c>
      <c r="F93" s="69">
        <f>E93/E12</f>
        <v>0.12066191534220884</v>
      </c>
      <c r="G93" s="59">
        <f>SUM(G77:G92)</f>
        <v>13468.041666666666</v>
      </c>
      <c r="H93" s="69">
        <f>G93/G12</f>
        <v>7.2741228217716045E-2</v>
      </c>
      <c r="I93" s="59">
        <f>SUM(I77:I92)</f>
        <v>13468.041666666666</v>
      </c>
      <c r="J93" s="69">
        <f>I93/I12</f>
        <v>8.2380181854375248E-2</v>
      </c>
      <c r="K93" s="23">
        <f>SUM(K77:K92)</f>
        <v>13468.041666666666</v>
      </c>
      <c r="L93" s="69">
        <f>K93/K12</f>
        <v>9.0072177280300314E-2</v>
      </c>
      <c r="M93" s="23">
        <f>SUM(M77:M92)</f>
        <v>13468.041666666666</v>
      </c>
      <c r="N93" s="69">
        <f>M93/M12</f>
        <v>6.3521196576377351E-2</v>
      </c>
      <c r="O93" s="23">
        <f>SUM(O77:O92)</f>
        <v>13468.041666666666</v>
      </c>
      <c r="P93" s="69">
        <f>O93/O12</f>
        <v>0.10033192382675642</v>
      </c>
      <c r="Q93" s="59">
        <f>SUM(Q77:Q92)</f>
        <v>13468.041666666666</v>
      </c>
      <c r="R93" s="69">
        <f>Q93/Q12</f>
        <v>8.0799524438241052E-2</v>
      </c>
      <c r="S93" s="59">
        <f>SUM(S77:S92)</f>
        <v>13468.041666666666</v>
      </c>
      <c r="T93" s="69">
        <f t="shared" si="88"/>
        <v>8.0207650068512049E-2</v>
      </c>
      <c r="U93" s="59">
        <f>SUM(U77:U92)</f>
        <v>13468.041666666666</v>
      </c>
      <c r="V93" s="69">
        <f>U93/U12</f>
        <v>0.10111824236084067</v>
      </c>
      <c r="W93" s="43">
        <f>SUM(W77:W92)</f>
        <v>13468.041666666666</v>
      </c>
      <c r="X93" s="69">
        <f>W93/W12</f>
        <v>9.9384819124131232E-2</v>
      </c>
      <c r="Y93" s="43">
        <f>SUM(Y77:Y92)</f>
        <v>13468.041666666666</v>
      </c>
      <c r="Z93" s="69">
        <f t="shared" si="91"/>
        <v>6.5788853898831878E-2</v>
      </c>
      <c r="AA93" s="109">
        <f>SUM(AA77:AA92)</f>
        <v>161616.5</v>
      </c>
      <c r="AB93" s="110">
        <f t="shared" si="93"/>
        <v>8.4725655471321271E-2</v>
      </c>
      <c r="AC93" s="93">
        <f>SUM(AC77:AC92)</f>
        <v>13468.041666666666</v>
      </c>
      <c r="AD93" s="94">
        <f t="shared" si="95"/>
        <v>8.4725655471321257E-2</v>
      </c>
      <c r="AE93" s="218"/>
      <c r="AF93" s="220"/>
      <c r="AG93" s="209"/>
      <c r="AH93" s="134"/>
      <c r="AI93" s="21">
        <f t="shared" si="79"/>
        <v>68552.332083333327</v>
      </c>
    </row>
    <row r="94" spans="1:35" s="1" customFormat="1" ht="15.75" thickTop="1">
      <c r="A94" s="2">
        <v>6301</v>
      </c>
      <c r="B94" s="2" t="s">
        <v>36</v>
      </c>
      <c r="C94" s="280"/>
      <c r="D94" s="49">
        <f t="shared" ref="D94:D114" si="96">C94/C$12</f>
        <v>0</v>
      </c>
      <c r="E94" s="280"/>
      <c r="F94" s="49">
        <f t="shared" ref="F94:F114" si="97">E94/E$12</f>
        <v>0</v>
      </c>
      <c r="G94" s="280"/>
      <c r="H94" s="49">
        <f t="shared" ref="H94:H114" si="98">G94/G$12</f>
        <v>0</v>
      </c>
      <c r="I94" s="280"/>
      <c r="J94" s="49">
        <f t="shared" ref="J94:J114" si="99">I94/I$12</f>
        <v>0</v>
      </c>
      <c r="K94" s="280"/>
      <c r="L94" s="49">
        <f t="shared" ref="L94:L114" si="100">K94/K$12</f>
        <v>0</v>
      </c>
      <c r="M94" s="280"/>
      <c r="N94" s="49">
        <f t="shared" ref="N94:N114" si="101">M94/M$12</f>
        <v>0</v>
      </c>
      <c r="O94" s="280"/>
      <c r="P94" s="49">
        <f t="shared" ref="P94:P114" si="102">O94/O$12</f>
        <v>0</v>
      </c>
      <c r="Q94" s="280"/>
      <c r="R94" s="49">
        <f t="shared" ref="R94:R114" si="103">Q94/Q$12</f>
        <v>0</v>
      </c>
      <c r="S94" s="280"/>
      <c r="T94" s="49">
        <f t="shared" si="88"/>
        <v>0</v>
      </c>
      <c r="U94" s="280"/>
      <c r="V94" s="49">
        <f t="shared" ref="V94:V114" si="104">U94/U$12</f>
        <v>0</v>
      </c>
      <c r="W94" s="280"/>
      <c r="X94" s="49">
        <f t="shared" ref="X94:X114" si="105">W94/W$12</f>
        <v>0</v>
      </c>
      <c r="Y94" s="280"/>
      <c r="Z94" s="49">
        <f t="shared" si="91"/>
        <v>0</v>
      </c>
      <c r="AA94" s="582">
        <f t="shared" ref="AA94:AA114" si="106">C94+E94+G94+I94+K94+M94+O94+Q94+S94+U94+W94+Y94</f>
        <v>0</v>
      </c>
      <c r="AB94" s="232">
        <f>AA94/AA$12</f>
        <v>0</v>
      </c>
      <c r="AC94" s="124">
        <f t="shared" ref="AC94:AC114" si="107">AA94/12</f>
        <v>0</v>
      </c>
      <c r="AD94" s="49">
        <f>AC94/AC$12</f>
        <v>0</v>
      </c>
      <c r="AE94" s="214"/>
      <c r="AF94" s="54"/>
      <c r="AH94" s="289"/>
      <c r="AI94" s="21">
        <f t="shared" si="79"/>
        <v>0</v>
      </c>
    </row>
    <row r="95" spans="1:35" s="1" customFormat="1">
      <c r="A95" s="2">
        <v>6302</v>
      </c>
      <c r="B95" s="2" t="s">
        <v>37</v>
      </c>
      <c r="C95" s="280"/>
      <c r="D95" s="49">
        <f t="shared" si="96"/>
        <v>0</v>
      </c>
      <c r="E95" s="280"/>
      <c r="F95" s="49">
        <f t="shared" si="97"/>
        <v>0</v>
      </c>
      <c r="G95" s="280"/>
      <c r="H95" s="49">
        <f t="shared" si="98"/>
        <v>0</v>
      </c>
      <c r="I95" s="280"/>
      <c r="J95" s="49">
        <f t="shared" si="99"/>
        <v>0</v>
      </c>
      <c r="K95" s="280"/>
      <c r="L95" s="49">
        <f t="shared" si="100"/>
        <v>0</v>
      </c>
      <c r="M95" s="280"/>
      <c r="N95" s="49">
        <f t="shared" si="101"/>
        <v>0</v>
      </c>
      <c r="O95" s="280"/>
      <c r="P95" s="49">
        <f t="shared" si="102"/>
        <v>0</v>
      </c>
      <c r="Q95" s="280"/>
      <c r="R95" s="49">
        <f t="shared" si="103"/>
        <v>0</v>
      </c>
      <c r="S95" s="280"/>
      <c r="T95" s="49">
        <f t="shared" si="88"/>
        <v>0</v>
      </c>
      <c r="U95" s="280"/>
      <c r="V95" s="49">
        <f t="shared" si="104"/>
        <v>0</v>
      </c>
      <c r="W95" s="280"/>
      <c r="X95" s="49">
        <f t="shared" si="105"/>
        <v>0</v>
      </c>
      <c r="Y95" s="280"/>
      <c r="Z95" s="49">
        <f t="shared" si="91"/>
        <v>0</v>
      </c>
      <c r="AA95" s="320">
        <f t="shared" si="106"/>
        <v>0</v>
      </c>
      <c r="AB95" s="49">
        <f t="shared" ref="AB95:AB99" si="108">AA95/AA$12</f>
        <v>0</v>
      </c>
      <c r="AC95" s="124">
        <f t="shared" si="107"/>
        <v>0</v>
      </c>
      <c r="AD95" s="49">
        <f t="shared" ref="AD95:AD99" si="109">AC95/AC$12</f>
        <v>0</v>
      </c>
      <c r="AE95" s="214"/>
      <c r="AF95" s="54">
        <v>115</v>
      </c>
      <c r="AG95" s="1" t="s">
        <v>164</v>
      </c>
      <c r="AH95" s="289"/>
      <c r="AI95" s="21">
        <f t="shared" si="79"/>
        <v>0</v>
      </c>
    </row>
    <row r="96" spans="1:35" s="1" customFormat="1">
      <c r="A96" s="2">
        <v>6303</v>
      </c>
      <c r="B96" s="2" t="s">
        <v>123</v>
      </c>
      <c r="C96" s="280"/>
      <c r="D96" s="49">
        <f t="shared" si="96"/>
        <v>0</v>
      </c>
      <c r="E96" s="280"/>
      <c r="F96" s="49">
        <f t="shared" si="97"/>
        <v>0</v>
      </c>
      <c r="G96" s="280"/>
      <c r="H96" s="49">
        <f t="shared" si="98"/>
        <v>0</v>
      </c>
      <c r="I96" s="280"/>
      <c r="J96" s="49">
        <f t="shared" si="99"/>
        <v>0</v>
      </c>
      <c r="K96" s="280"/>
      <c r="L96" s="49">
        <f t="shared" si="100"/>
        <v>0</v>
      </c>
      <c r="M96" s="280"/>
      <c r="N96" s="49">
        <f t="shared" si="101"/>
        <v>0</v>
      </c>
      <c r="O96" s="280"/>
      <c r="P96" s="49">
        <f t="shared" si="102"/>
        <v>0</v>
      </c>
      <c r="Q96" s="280"/>
      <c r="R96" s="49">
        <f t="shared" si="103"/>
        <v>0</v>
      </c>
      <c r="S96" s="280"/>
      <c r="T96" s="49">
        <f t="shared" si="88"/>
        <v>0</v>
      </c>
      <c r="U96" s="280"/>
      <c r="V96" s="49">
        <f t="shared" si="104"/>
        <v>0</v>
      </c>
      <c r="W96" s="280"/>
      <c r="X96" s="49">
        <f t="shared" si="105"/>
        <v>0</v>
      </c>
      <c r="Y96" s="280"/>
      <c r="Z96" s="49">
        <f t="shared" si="91"/>
        <v>0</v>
      </c>
      <c r="AA96" s="320">
        <f t="shared" si="106"/>
        <v>0</v>
      </c>
      <c r="AB96" s="49">
        <f t="shared" si="108"/>
        <v>0</v>
      </c>
      <c r="AC96" s="124">
        <f t="shared" si="107"/>
        <v>0</v>
      </c>
      <c r="AD96" s="49">
        <f t="shared" si="109"/>
        <v>0</v>
      </c>
      <c r="AE96" s="214"/>
      <c r="AF96" s="54"/>
      <c r="AH96" s="289"/>
      <c r="AI96" s="21">
        <f t="shared" si="79"/>
        <v>0</v>
      </c>
    </row>
    <row r="97" spans="1:35" s="1" customFormat="1">
      <c r="A97" s="2">
        <v>6304</v>
      </c>
      <c r="B97" s="2" t="s">
        <v>38</v>
      </c>
      <c r="C97" s="348"/>
      <c r="D97" s="49">
        <f t="shared" si="96"/>
        <v>0</v>
      </c>
      <c r="E97" s="348"/>
      <c r="F97" s="49">
        <f t="shared" si="97"/>
        <v>0</v>
      </c>
      <c r="G97" s="348"/>
      <c r="H97" s="49">
        <f t="shared" si="98"/>
        <v>0</v>
      </c>
      <c r="I97" s="348"/>
      <c r="J97" s="49">
        <f t="shared" si="99"/>
        <v>0</v>
      </c>
      <c r="K97" s="348"/>
      <c r="L97" s="49">
        <f t="shared" si="100"/>
        <v>0</v>
      </c>
      <c r="M97" s="348"/>
      <c r="N97" s="49">
        <f t="shared" si="101"/>
        <v>0</v>
      </c>
      <c r="O97" s="348"/>
      <c r="P97" s="49">
        <f t="shared" si="102"/>
        <v>0</v>
      </c>
      <c r="Q97" s="348"/>
      <c r="R97" s="49">
        <f t="shared" si="103"/>
        <v>0</v>
      </c>
      <c r="S97" s="348"/>
      <c r="T97" s="49">
        <f t="shared" si="88"/>
        <v>0</v>
      </c>
      <c r="U97" s="348"/>
      <c r="V97" s="49">
        <f t="shared" si="104"/>
        <v>0</v>
      </c>
      <c r="W97" s="348"/>
      <c r="X97" s="49">
        <f t="shared" si="105"/>
        <v>0</v>
      </c>
      <c r="Y97" s="348"/>
      <c r="Z97" s="49">
        <f t="shared" si="91"/>
        <v>0</v>
      </c>
      <c r="AA97" s="320">
        <f t="shared" si="106"/>
        <v>0</v>
      </c>
      <c r="AB97" s="49">
        <f t="shared" si="108"/>
        <v>0</v>
      </c>
      <c r="AC97" s="124">
        <f t="shared" si="107"/>
        <v>0</v>
      </c>
      <c r="AD97" s="49">
        <f t="shared" si="109"/>
        <v>0</v>
      </c>
      <c r="AE97" s="214"/>
      <c r="AF97" s="54">
        <v>1312</v>
      </c>
      <c r="AG97" s="1" t="s">
        <v>165</v>
      </c>
      <c r="AH97" s="289"/>
      <c r="AI97" s="21">
        <f t="shared" si="79"/>
        <v>0</v>
      </c>
    </row>
    <row r="98" spans="1:35" s="1" customFormat="1">
      <c r="A98" s="2">
        <v>6305</v>
      </c>
      <c r="B98" s="2" t="s">
        <v>39</v>
      </c>
      <c r="C98" s="280"/>
      <c r="D98" s="49">
        <f t="shared" si="96"/>
        <v>0</v>
      </c>
      <c r="E98" s="280"/>
      <c r="F98" s="49">
        <f t="shared" si="97"/>
        <v>0</v>
      </c>
      <c r="G98" s="280"/>
      <c r="H98" s="49">
        <f t="shared" si="98"/>
        <v>0</v>
      </c>
      <c r="I98" s="280"/>
      <c r="J98" s="49">
        <f t="shared" si="99"/>
        <v>0</v>
      </c>
      <c r="K98" s="280"/>
      <c r="L98" s="49">
        <f t="shared" si="100"/>
        <v>0</v>
      </c>
      <c r="M98" s="280"/>
      <c r="N98" s="49">
        <f t="shared" si="101"/>
        <v>0</v>
      </c>
      <c r="O98" s="280"/>
      <c r="P98" s="49">
        <f t="shared" si="102"/>
        <v>0</v>
      </c>
      <c r="Q98" s="280"/>
      <c r="R98" s="49">
        <f t="shared" si="103"/>
        <v>0</v>
      </c>
      <c r="S98" s="280"/>
      <c r="T98" s="49">
        <f t="shared" si="88"/>
        <v>0</v>
      </c>
      <c r="U98" s="280"/>
      <c r="V98" s="49">
        <f t="shared" si="104"/>
        <v>0</v>
      </c>
      <c r="W98" s="280"/>
      <c r="X98" s="49">
        <f t="shared" si="105"/>
        <v>0</v>
      </c>
      <c r="Y98" s="280"/>
      <c r="Z98" s="49">
        <f t="shared" si="91"/>
        <v>0</v>
      </c>
      <c r="AA98" s="320">
        <f t="shared" si="106"/>
        <v>0</v>
      </c>
      <c r="AB98" s="49">
        <f t="shared" si="108"/>
        <v>0</v>
      </c>
      <c r="AC98" s="124">
        <f t="shared" si="107"/>
        <v>0</v>
      </c>
      <c r="AD98" s="49">
        <f t="shared" si="109"/>
        <v>0</v>
      </c>
      <c r="AE98" s="214"/>
      <c r="AF98" s="54">
        <v>800</v>
      </c>
      <c r="AG98" s="1" t="s">
        <v>166</v>
      </c>
      <c r="AH98" s="289"/>
      <c r="AI98" s="21">
        <f t="shared" si="79"/>
        <v>0</v>
      </c>
    </row>
    <row r="99" spans="1:35" s="1" customFormat="1">
      <c r="A99" s="2">
        <v>6306</v>
      </c>
      <c r="B99" s="2" t="s">
        <v>40</v>
      </c>
      <c r="C99" s="280"/>
      <c r="D99" s="49">
        <f t="shared" si="96"/>
        <v>0</v>
      </c>
      <c r="E99" s="280"/>
      <c r="F99" s="49">
        <f t="shared" si="97"/>
        <v>0</v>
      </c>
      <c r="G99" s="280"/>
      <c r="H99" s="49">
        <f t="shared" si="98"/>
        <v>0</v>
      </c>
      <c r="I99" s="280"/>
      <c r="J99" s="49">
        <f t="shared" si="99"/>
        <v>0</v>
      </c>
      <c r="K99" s="280"/>
      <c r="L99" s="49">
        <f t="shared" si="100"/>
        <v>0</v>
      </c>
      <c r="M99" s="280"/>
      <c r="N99" s="49">
        <f t="shared" si="101"/>
        <v>0</v>
      </c>
      <c r="O99" s="280"/>
      <c r="P99" s="49">
        <f t="shared" si="102"/>
        <v>0</v>
      </c>
      <c r="Q99" s="280"/>
      <c r="R99" s="49">
        <f t="shared" si="103"/>
        <v>0</v>
      </c>
      <c r="S99" s="280"/>
      <c r="T99" s="49">
        <f t="shared" si="88"/>
        <v>0</v>
      </c>
      <c r="U99" s="280"/>
      <c r="V99" s="49">
        <f t="shared" si="104"/>
        <v>0</v>
      </c>
      <c r="W99" s="280"/>
      <c r="X99" s="49">
        <f t="shared" si="105"/>
        <v>0</v>
      </c>
      <c r="Y99" s="280"/>
      <c r="Z99" s="49">
        <f t="shared" si="91"/>
        <v>0</v>
      </c>
      <c r="AA99" s="320">
        <f t="shared" si="106"/>
        <v>0</v>
      </c>
      <c r="AB99" s="49">
        <f t="shared" si="108"/>
        <v>0</v>
      </c>
      <c r="AC99" s="124">
        <f t="shared" si="107"/>
        <v>0</v>
      </c>
      <c r="AD99" s="49">
        <f t="shared" si="109"/>
        <v>0</v>
      </c>
      <c r="AE99" s="214"/>
      <c r="AF99" s="54"/>
      <c r="AG99" s="1" t="s">
        <v>167</v>
      </c>
      <c r="AH99" s="289"/>
      <c r="AI99" s="21">
        <f t="shared" si="79"/>
        <v>0</v>
      </c>
    </row>
    <row r="100" spans="1:35" s="289" customFormat="1">
      <c r="A100" s="2">
        <v>6307</v>
      </c>
      <c r="B100" s="2" t="s">
        <v>240</v>
      </c>
      <c r="C100" s="280"/>
      <c r="D100" s="49">
        <f t="shared" si="96"/>
        <v>0</v>
      </c>
      <c r="E100" s="280">
        <v>98.2</v>
      </c>
      <c r="F100" s="49">
        <f t="shared" si="97"/>
        <v>8.797864143776094E-4</v>
      </c>
      <c r="G100" s="280">
        <v>98.2</v>
      </c>
      <c r="H100" s="49">
        <f t="shared" si="98"/>
        <v>5.3038064388077086E-4</v>
      </c>
      <c r="I100" s="280">
        <v>359.4</v>
      </c>
      <c r="J100" s="49">
        <f t="shared" si="99"/>
        <v>2.1983476210755059E-3</v>
      </c>
      <c r="K100" s="280">
        <v>98.2</v>
      </c>
      <c r="L100" s="49">
        <f t="shared" si="100"/>
        <v>6.567463947499538E-4</v>
      </c>
      <c r="M100" s="280"/>
      <c r="N100" s="49">
        <f t="shared" si="101"/>
        <v>0</v>
      </c>
      <c r="O100" s="280">
        <v>98.2</v>
      </c>
      <c r="P100" s="49">
        <f t="shared" si="102"/>
        <v>7.3155364110378445E-4</v>
      </c>
      <c r="Q100" s="280">
        <v>98.2</v>
      </c>
      <c r="R100" s="49">
        <f t="shared" si="103"/>
        <v>5.8913637900847541E-4</v>
      </c>
      <c r="S100" s="280">
        <v>98.2</v>
      </c>
      <c r="T100" s="49">
        <f t="shared" si="88"/>
        <v>5.8482082485844338E-4</v>
      </c>
      <c r="U100" s="280">
        <v>98.2</v>
      </c>
      <c r="V100" s="49">
        <f t="shared" si="104"/>
        <v>7.3728695274315843E-4</v>
      </c>
      <c r="W100" s="280">
        <v>98.2</v>
      </c>
      <c r="X100" s="49">
        <f t="shared" si="105"/>
        <v>7.246479836890184E-4</v>
      </c>
      <c r="Y100" s="280">
        <v>98.2</v>
      </c>
      <c r="Z100" s="49">
        <f t="shared" si="91"/>
        <v>4.7968855552733472E-4</v>
      </c>
      <c r="AA100" s="320">
        <f t="shared" si="106"/>
        <v>1243.2000000000003</v>
      </c>
      <c r="AB100" s="49">
        <f>AA100/AA$12</f>
        <v>6.5173379501441144E-4</v>
      </c>
      <c r="AC100" s="124">
        <f t="shared" si="107"/>
        <v>103.60000000000002</v>
      </c>
      <c r="AD100" s="49">
        <f>AC100/AC$12</f>
        <v>6.5173379501441133E-4</v>
      </c>
      <c r="AE100" s="214"/>
      <c r="AF100" s="54"/>
      <c r="AI100" s="21"/>
    </row>
    <row r="101" spans="1:35" s="1" customFormat="1">
      <c r="A101" s="2">
        <v>6308</v>
      </c>
      <c r="B101" s="2" t="s">
        <v>142</v>
      </c>
      <c r="C101" s="280"/>
      <c r="D101" s="49">
        <f t="shared" si="96"/>
        <v>0</v>
      </c>
      <c r="E101" s="280"/>
      <c r="F101" s="49">
        <f t="shared" si="97"/>
        <v>0</v>
      </c>
      <c r="G101" s="280"/>
      <c r="H101" s="49">
        <f t="shared" si="98"/>
        <v>0</v>
      </c>
      <c r="I101" s="280"/>
      <c r="J101" s="49">
        <f t="shared" si="99"/>
        <v>0</v>
      </c>
      <c r="K101" s="280"/>
      <c r="L101" s="49">
        <f t="shared" si="100"/>
        <v>0</v>
      </c>
      <c r="M101" s="280"/>
      <c r="N101" s="49">
        <f t="shared" si="101"/>
        <v>0</v>
      </c>
      <c r="O101" s="280"/>
      <c r="P101" s="49">
        <f t="shared" si="102"/>
        <v>0</v>
      </c>
      <c r="Q101" s="280"/>
      <c r="R101" s="49">
        <f t="shared" si="103"/>
        <v>0</v>
      </c>
      <c r="S101" s="280"/>
      <c r="T101" s="49">
        <f t="shared" si="88"/>
        <v>0</v>
      </c>
      <c r="U101" s="280"/>
      <c r="V101" s="49">
        <f t="shared" si="104"/>
        <v>0</v>
      </c>
      <c r="W101" s="280"/>
      <c r="X101" s="49">
        <f t="shared" si="105"/>
        <v>0</v>
      </c>
      <c r="Y101" s="280"/>
      <c r="Z101" s="49">
        <f t="shared" si="91"/>
        <v>0</v>
      </c>
      <c r="AA101" s="320">
        <f t="shared" si="106"/>
        <v>0</v>
      </c>
      <c r="AB101" s="49">
        <f>AA101/AA$12</f>
        <v>0</v>
      </c>
      <c r="AC101" s="124">
        <f t="shared" si="107"/>
        <v>0</v>
      </c>
      <c r="AD101" s="49">
        <f>AC101/AC$12</f>
        <v>0</v>
      </c>
      <c r="AE101" s="214"/>
      <c r="AF101" s="54">
        <v>200</v>
      </c>
      <c r="AG101" s="1" t="s">
        <v>168</v>
      </c>
      <c r="AH101" s="289"/>
      <c r="AI101" s="21">
        <f t="shared" si="79"/>
        <v>0</v>
      </c>
    </row>
    <row r="102" spans="1:35" s="1" customFormat="1">
      <c r="A102" s="2">
        <v>6309</v>
      </c>
      <c r="B102" s="2" t="s">
        <v>143</v>
      </c>
      <c r="C102" s="280">
        <v>377.60325589800004</v>
      </c>
      <c r="D102" s="49">
        <f t="shared" si="96"/>
        <v>2.6319684940056321E-3</v>
      </c>
      <c r="E102" s="280">
        <v>381.37928845698002</v>
      </c>
      <c r="F102" s="49">
        <f t="shared" si="97"/>
        <v>3.4168260357377842E-3</v>
      </c>
      <c r="G102" s="280">
        <v>192.59654067077494</v>
      </c>
      <c r="H102" s="49">
        <f t="shared" si="98"/>
        <v>1.0402187092685812E-3</v>
      </c>
      <c r="I102" s="280">
        <v>202.28843507384036</v>
      </c>
      <c r="J102" s="49">
        <f t="shared" si="99"/>
        <v>1.2373408458977852E-3</v>
      </c>
      <c r="K102" s="280">
        <v>421.37558500651511</v>
      </c>
      <c r="L102" s="49">
        <f t="shared" si="100"/>
        <v>2.81809466689085E-3</v>
      </c>
      <c r="M102" s="280">
        <v>215.61905567664826</v>
      </c>
      <c r="N102" s="49">
        <f t="shared" si="101"/>
        <v>1.0169541170300725E-3</v>
      </c>
      <c r="O102" s="280">
        <v>231.17215734635622</v>
      </c>
      <c r="P102" s="49">
        <f t="shared" si="102"/>
        <v>1.7221469799240717E-3</v>
      </c>
      <c r="Q102" s="280">
        <v>240.74034359022758</v>
      </c>
      <c r="R102" s="49">
        <f t="shared" si="103"/>
        <v>1.4442860927087872E-3</v>
      </c>
      <c r="S102" s="280">
        <v>504.20886208341841</v>
      </c>
      <c r="T102" s="49">
        <f t="shared" si="88"/>
        <v>3.0027682548326054E-3</v>
      </c>
      <c r="U102" s="280">
        <v>521.13555090003968</v>
      </c>
      <c r="V102" s="49">
        <f t="shared" si="104"/>
        <v>3.9126928950022136E-3</v>
      </c>
      <c r="W102" s="280">
        <v>273.68013642861177</v>
      </c>
      <c r="X102" s="49">
        <f t="shared" si="105"/>
        <v>2.019569847644898E-3</v>
      </c>
      <c r="Y102" s="280">
        <v>287.45234112784777</v>
      </c>
      <c r="Z102" s="49">
        <f t="shared" si="91"/>
        <v>1.4041506955047654E-3</v>
      </c>
      <c r="AA102" s="320">
        <f t="shared" si="106"/>
        <v>3849.2515522592598</v>
      </c>
      <c r="AB102" s="49">
        <f>AA102/AA$12</f>
        <v>2.0179273826568863E-3</v>
      </c>
      <c r="AC102" s="124">
        <f t="shared" si="107"/>
        <v>320.77096268827165</v>
      </c>
      <c r="AD102" s="49">
        <f>AC102/AC$12</f>
        <v>2.0179273826568859E-3</v>
      </c>
      <c r="AE102" s="214"/>
      <c r="AF102" s="54">
        <v>840</v>
      </c>
      <c r="AG102" s="1" t="s">
        <v>169</v>
      </c>
      <c r="AH102" s="289"/>
      <c r="AI102" s="21">
        <f t="shared" si="79"/>
        <v>1225.3683488742583</v>
      </c>
    </row>
    <row r="103" spans="1:35" s="1" customFormat="1">
      <c r="A103" s="2">
        <v>6310</v>
      </c>
      <c r="B103" s="2" t="s">
        <v>144</v>
      </c>
      <c r="C103" s="280"/>
      <c r="D103" s="49">
        <f t="shared" si="96"/>
        <v>0</v>
      </c>
      <c r="E103" s="280"/>
      <c r="F103" s="49">
        <f t="shared" si="97"/>
        <v>0</v>
      </c>
      <c r="G103" s="280"/>
      <c r="H103" s="49">
        <f t="shared" si="98"/>
        <v>0</v>
      </c>
      <c r="I103" s="280"/>
      <c r="J103" s="49">
        <f t="shared" si="99"/>
        <v>0</v>
      </c>
      <c r="K103" s="280"/>
      <c r="L103" s="49">
        <f t="shared" si="100"/>
        <v>0</v>
      </c>
      <c r="M103" s="280"/>
      <c r="N103" s="49">
        <f t="shared" si="101"/>
        <v>0</v>
      </c>
      <c r="O103" s="280"/>
      <c r="P103" s="49">
        <f t="shared" si="102"/>
        <v>0</v>
      </c>
      <c r="Q103" s="280"/>
      <c r="R103" s="49">
        <f t="shared" si="103"/>
        <v>0</v>
      </c>
      <c r="S103" s="280"/>
      <c r="T103" s="49">
        <f t="shared" si="88"/>
        <v>0</v>
      </c>
      <c r="U103" s="280"/>
      <c r="V103" s="49">
        <f t="shared" si="104"/>
        <v>0</v>
      </c>
      <c r="W103" s="280"/>
      <c r="X103" s="49">
        <f t="shared" si="105"/>
        <v>0</v>
      </c>
      <c r="Y103" s="280"/>
      <c r="Z103" s="49">
        <f t="shared" si="91"/>
        <v>0</v>
      </c>
      <c r="AA103" s="320">
        <f t="shared" si="106"/>
        <v>0</v>
      </c>
      <c r="AB103" s="49">
        <f t="shared" ref="AB103:AB114" si="110">AA103/AA$12</f>
        <v>0</v>
      </c>
      <c r="AC103" s="124">
        <f t="shared" si="107"/>
        <v>0</v>
      </c>
      <c r="AD103" s="49">
        <f t="shared" ref="AD103:AD114" si="111">AC103/AC$12</f>
        <v>0</v>
      </c>
      <c r="AE103" s="214"/>
      <c r="AF103" s="54"/>
      <c r="AG103" s="1" t="s">
        <v>167</v>
      </c>
      <c r="AH103" s="289"/>
      <c r="AI103" s="21">
        <f t="shared" si="79"/>
        <v>0</v>
      </c>
    </row>
    <row r="104" spans="1:35" s="1" customFormat="1">
      <c r="A104" s="2">
        <v>6311</v>
      </c>
      <c r="B104" s="2" t="s">
        <v>145</v>
      </c>
      <c r="C104" s="280">
        <v>2357.5638506876226</v>
      </c>
      <c r="D104" s="49">
        <f t="shared" si="96"/>
        <v>1.6432680811662687E-2</v>
      </c>
      <c r="E104" s="280"/>
      <c r="F104" s="49">
        <f t="shared" si="97"/>
        <v>0</v>
      </c>
      <c r="G104" s="280"/>
      <c r="H104" s="49">
        <f t="shared" si="98"/>
        <v>0</v>
      </c>
      <c r="I104" s="280"/>
      <c r="J104" s="49">
        <f t="shared" si="99"/>
        <v>0</v>
      </c>
      <c r="K104" s="280"/>
      <c r="L104" s="49">
        <f t="shared" si="100"/>
        <v>0</v>
      </c>
      <c r="M104" s="280"/>
      <c r="N104" s="49">
        <f t="shared" si="101"/>
        <v>0</v>
      </c>
      <c r="O104" s="280"/>
      <c r="P104" s="49">
        <f t="shared" si="102"/>
        <v>0</v>
      </c>
      <c r="Q104" s="280"/>
      <c r="R104" s="49">
        <f t="shared" si="103"/>
        <v>0</v>
      </c>
      <c r="S104" s="280"/>
      <c r="T104" s="49">
        <f t="shared" si="88"/>
        <v>0</v>
      </c>
      <c r="U104" s="280"/>
      <c r="V104" s="49">
        <f t="shared" si="104"/>
        <v>0</v>
      </c>
      <c r="W104" s="280"/>
      <c r="X104" s="49">
        <f t="shared" si="105"/>
        <v>0</v>
      </c>
      <c r="Y104" s="280"/>
      <c r="Z104" s="49">
        <f t="shared" si="91"/>
        <v>0</v>
      </c>
      <c r="AA104" s="320">
        <f t="shared" si="106"/>
        <v>2357.5638506876226</v>
      </c>
      <c r="AB104" s="49">
        <f t="shared" si="110"/>
        <v>1.2359266693994797E-3</v>
      </c>
      <c r="AC104" s="124">
        <f t="shared" si="107"/>
        <v>196.46365422396855</v>
      </c>
      <c r="AD104" s="49">
        <f t="shared" si="111"/>
        <v>1.2359266693994795E-3</v>
      </c>
      <c r="AE104" s="214"/>
      <c r="AF104" s="54">
        <v>865</v>
      </c>
      <c r="AG104" s="1" t="s">
        <v>170</v>
      </c>
      <c r="AH104" s="289"/>
      <c r="AI104" s="21">
        <f t="shared" si="79"/>
        <v>0</v>
      </c>
    </row>
    <row r="105" spans="1:35" s="1" customFormat="1">
      <c r="A105" s="2">
        <v>6312</v>
      </c>
      <c r="B105" s="2" t="s">
        <v>146</v>
      </c>
      <c r="C105" s="280"/>
      <c r="D105" s="49">
        <f t="shared" si="96"/>
        <v>0</v>
      </c>
      <c r="E105" s="280"/>
      <c r="F105" s="49">
        <f t="shared" si="97"/>
        <v>0</v>
      </c>
      <c r="G105" s="280"/>
      <c r="H105" s="49">
        <f t="shared" si="98"/>
        <v>0</v>
      </c>
      <c r="I105" s="280"/>
      <c r="J105" s="49">
        <f t="shared" si="99"/>
        <v>0</v>
      </c>
      <c r="K105" s="280"/>
      <c r="L105" s="49">
        <f t="shared" si="100"/>
        <v>0</v>
      </c>
      <c r="M105" s="280"/>
      <c r="N105" s="49">
        <f t="shared" si="101"/>
        <v>0</v>
      </c>
      <c r="O105" s="280"/>
      <c r="P105" s="49">
        <f t="shared" si="102"/>
        <v>0</v>
      </c>
      <c r="Q105" s="280"/>
      <c r="R105" s="49">
        <f t="shared" si="103"/>
        <v>0</v>
      </c>
      <c r="S105" s="280"/>
      <c r="T105" s="49">
        <f t="shared" si="88"/>
        <v>0</v>
      </c>
      <c r="U105" s="280"/>
      <c r="V105" s="49">
        <f t="shared" si="104"/>
        <v>0</v>
      </c>
      <c r="W105" s="280"/>
      <c r="X105" s="49">
        <f t="shared" si="105"/>
        <v>0</v>
      </c>
      <c r="Y105" s="280"/>
      <c r="Z105" s="49">
        <f t="shared" si="91"/>
        <v>0</v>
      </c>
      <c r="AA105" s="320">
        <f t="shared" si="106"/>
        <v>0</v>
      </c>
      <c r="AB105" s="49">
        <f t="shared" si="110"/>
        <v>0</v>
      </c>
      <c r="AC105" s="124">
        <f t="shared" si="107"/>
        <v>0</v>
      </c>
      <c r="AD105" s="49">
        <f t="shared" si="111"/>
        <v>0</v>
      </c>
      <c r="AE105" s="214"/>
      <c r="AF105" s="54">
        <v>425</v>
      </c>
      <c r="AG105" s="1" t="s">
        <v>164</v>
      </c>
      <c r="AH105" s="289"/>
      <c r="AI105" s="21">
        <f t="shared" si="79"/>
        <v>0</v>
      </c>
    </row>
    <row r="106" spans="1:35" s="289" customFormat="1">
      <c r="A106" s="2">
        <v>6313</v>
      </c>
      <c r="B106" s="2" t="s">
        <v>147</v>
      </c>
      <c r="C106" s="280"/>
      <c r="D106" s="49">
        <f t="shared" si="96"/>
        <v>0</v>
      </c>
      <c r="E106" s="280"/>
      <c r="F106" s="49">
        <f t="shared" si="97"/>
        <v>0</v>
      </c>
      <c r="G106" s="280">
        <v>669.76245758171103</v>
      </c>
      <c r="H106" s="49">
        <f t="shared" si="98"/>
        <v>3.6174037016227633E-3</v>
      </c>
      <c r="I106" s="280"/>
      <c r="J106" s="49">
        <f t="shared" si="99"/>
        <v>0</v>
      </c>
      <c r="K106" s="280">
        <v>669.76245758171103</v>
      </c>
      <c r="L106" s="49">
        <f t="shared" si="100"/>
        <v>4.4792676105464106E-3</v>
      </c>
      <c r="M106" s="280"/>
      <c r="N106" s="49">
        <f t="shared" si="101"/>
        <v>0</v>
      </c>
      <c r="O106" s="280"/>
      <c r="P106" s="49">
        <f t="shared" si="102"/>
        <v>0</v>
      </c>
      <c r="Q106" s="280">
        <v>669.76245758171103</v>
      </c>
      <c r="R106" s="49">
        <f t="shared" si="103"/>
        <v>4.0181408254124935E-3</v>
      </c>
      <c r="S106" s="280"/>
      <c r="T106" s="49">
        <f t="shared" si="88"/>
        <v>0</v>
      </c>
      <c r="U106" s="280"/>
      <c r="V106" s="49">
        <f t="shared" si="104"/>
        <v>0</v>
      </c>
      <c r="W106" s="280"/>
      <c r="X106" s="49">
        <f t="shared" si="105"/>
        <v>0</v>
      </c>
      <c r="Y106" s="280">
        <v>669.76245758171103</v>
      </c>
      <c r="Z106" s="49">
        <f t="shared" si="91"/>
        <v>3.2716638067597629E-3</v>
      </c>
      <c r="AA106" s="320">
        <f t="shared" si="106"/>
        <v>2679.0498303268441</v>
      </c>
      <c r="AB106" s="49">
        <f t="shared" si="110"/>
        <v>1.4044621243175907E-3</v>
      </c>
      <c r="AC106" s="124">
        <f t="shared" si="107"/>
        <v>223.25415252723701</v>
      </c>
      <c r="AD106" s="49">
        <f t="shared" si="111"/>
        <v>1.4044621243175905E-3</v>
      </c>
      <c r="AE106" s="214"/>
      <c r="AF106" s="54"/>
      <c r="AI106" s="21">
        <f t="shared" si="79"/>
        <v>3409.090909090909</v>
      </c>
    </row>
    <row r="107" spans="1:35" s="1" customFormat="1">
      <c r="A107" s="2">
        <v>6314</v>
      </c>
      <c r="B107" s="2" t="s">
        <v>211</v>
      </c>
      <c r="C107" s="280">
        <v>775.02</v>
      </c>
      <c r="D107" s="49">
        <f t="shared" si="96"/>
        <v>5.4020408732260855E-3</v>
      </c>
      <c r="E107" s="280">
        <v>150</v>
      </c>
      <c r="F107" s="49">
        <f t="shared" si="97"/>
        <v>1.3438692683975704E-3</v>
      </c>
      <c r="G107" s="280">
        <v>775.02</v>
      </c>
      <c r="H107" s="49">
        <f t="shared" si="98"/>
        <v>4.1859023077441444E-3</v>
      </c>
      <c r="I107" s="280"/>
      <c r="J107" s="49">
        <f t="shared" si="99"/>
        <v>0</v>
      </c>
      <c r="K107" s="280">
        <v>925.02</v>
      </c>
      <c r="L107" s="49">
        <f t="shared" si="100"/>
        <v>6.1863905302607146E-3</v>
      </c>
      <c r="M107" s="280">
        <v>775.02</v>
      </c>
      <c r="N107" s="49">
        <f t="shared" si="101"/>
        <v>3.6553345311121557E-3</v>
      </c>
      <c r="O107" s="280">
        <v>775.02</v>
      </c>
      <c r="P107" s="49">
        <f t="shared" si="102"/>
        <v>5.7736120461125756E-3</v>
      </c>
      <c r="Q107" s="280"/>
      <c r="R107" s="49">
        <f t="shared" si="103"/>
        <v>0</v>
      </c>
      <c r="S107" s="280">
        <v>925.02</v>
      </c>
      <c r="T107" s="49">
        <f t="shared" si="88"/>
        <v>5.5088692404333733E-3</v>
      </c>
      <c r="U107" s="280">
        <v>150</v>
      </c>
      <c r="V107" s="49">
        <f t="shared" si="104"/>
        <v>1.1262020663082867E-3</v>
      </c>
      <c r="W107" s="280">
        <v>925.02</v>
      </c>
      <c r="X107" s="49">
        <f t="shared" si="105"/>
        <v>6.8260069029736845E-3</v>
      </c>
      <c r="Y107" s="280"/>
      <c r="Z107" s="49">
        <f t="shared" si="91"/>
        <v>0</v>
      </c>
      <c r="AA107" s="320">
        <f t="shared" si="106"/>
        <v>6175.1400000000012</v>
      </c>
      <c r="AB107" s="49">
        <f t="shared" si="110"/>
        <v>3.2372485737976932E-3</v>
      </c>
      <c r="AC107" s="124">
        <f t="shared" si="107"/>
        <v>514.59500000000014</v>
      </c>
      <c r="AD107" s="49">
        <f t="shared" si="111"/>
        <v>3.2372485737976932E-3</v>
      </c>
      <c r="AE107" s="214"/>
      <c r="AF107" s="54"/>
      <c r="AH107" s="289"/>
      <c r="AI107" s="21">
        <f t="shared" si="79"/>
        <v>0</v>
      </c>
    </row>
    <row r="108" spans="1:35" s="289" customFormat="1">
      <c r="A108" s="2">
        <v>6315</v>
      </c>
      <c r="B108" s="2" t="s">
        <v>241</v>
      </c>
      <c r="C108" s="280"/>
      <c r="D108" s="49">
        <f t="shared" si="96"/>
        <v>0</v>
      </c>
      <c r="E108" s="280">
        <v>1205.5999999999999</v>
      </c>
      <c r="F108" s="49">
        <f t="shared" si="97"/>
        <v>1.0801125266534071E-2</v>
      </c>
      <c r="G108" s="280">
        <v>1455.6</v>
      </c>
      <c r="H108" s="49">
        <f t="shared" si="98"/>
        <v>7.8617318251817704E-3</v>
      </c>
      <c r="I108" s="280">
        <v>1205.5999999999999</v>
      </c>
      <c r="J108" s="49">
        <f t="shared" si="99"/>
        <v>7.374312442873206E-3</v>
      </c>
      <c r="K108" s="280">
        <v>250</v>
      </c>
      <c r="L108" s="49">
        <f t="shared" si="100"/>
        <v>1.6719612900966236E-3</v>
      </c>
      <c r="M108" s="280"/>
      <c r="N108" s="49">
        <f t="shared" si="101"/>
        <v>0</v>
      </c>
      <c r="O108" s="280">
        <v>175</v>
      </c>
      <c r="P108" s="49">
        <f t="shared" si="102"/>
        <v>1.3036852056330169E-3</v>
      </c>
      <c r="Q108" s="280">
        <v>250</v>
      </c>
      <c r="R108" s="49">
        <f t="shared" si="103"/>
        <v>1.4998380320989698E-3</v>
      </c>
      <c r="S108" s="280"/>
      <c r="T108" s="49">
        <f t="shared" si="88"/>
        <v>0</v>
      </c>
      <c r="U108" s="280">
        <v>175</v>
      </c>
      <c r="V108" s="49">
        <f t="shared" si="104"/>
        <v>1.3139024106930013E-3</v>
      </c>
      <c r="W108" s="280"/>
      <c r="X108" s="49">
        <f t="shared" si="105"/>
        <v>0</v>
      </c>
      <c r="Y108" s="280">
        <v>250</v>
      </c>
      <c r="Z108" s="49">
        <f t="shared" si="91"/>
        <v>1.2212030436031941E-3</v>
      </c>
      <c r="AA108" s="320">
        <f t="shared" si="106"/>
        <v>4966.7999999999993</v>
      </c>
      <c r="AB108" s="49">
        <f t="shared" si="110"/>
        <v>2.6037897466840228E-3</v>
      </c>
      <c r="AC108" s="124">
        <f t="shared" si="107"/>
        <v>413.89999999999992</v>
      </c>
      <c r="AD108" s="49">
        <f t="shared" si="111"/>
        <v>2.6037897466840228E-3</v>
      </c>
      <c r="AE108" s="214"/>
      <c r="AF108" s="54"/>
      <c r="AI108" s="21"/>
    </row>
    <row r="109" spans="1:35" s="289" customFormat="1">
      <c r="A109" s="2">
        <v>6316</v>
      </c>
      <c r="B109" s="2" t="s">
        <v>242</v>
      </c>
      <c r="C109" s="280"/>
      <c r="D109" s="49">
        <f t="shared" si="96"/>
        <v>0</v>
      </c>
      <c r="E109" s="280"/>
      <c r="F109" s="49">
        <f t="shared" si="97"/>
        <v>0</v>
      </c>
      <c r="G109" s="280"/>
      <c r="H109" s="49">
        <f t="shared" si="98"/>
        <v>0</v>
      </c>
      <c r="I109" s="280"/>
      <c r="J109" s="49">
        <f t="shared" si="99"/>
        <v>0</v>
      </c>
      <c r="K109" s="280"/>
      <c r="L109" s="49">
        <f t="shared" si="100"/>
        <v>0</v>
      </c>
      <c r="M109" s="280"/>
      <c r="N109" s="49">
        <f t="shared" si="101"/>
        <v>0</v>
      </c>
      <c r="O109" s="280"/>
      <c r="P109" s="49">
        <f t="shared" si="102"/>
        <v>0</v>
      </c>
      <c r="Q109" s="280"/>
      <c r="R109" s="49">
        <f t="shared" si="103"/>
        <v>0</v>
      </c>
      <c r="S109" s="280"/>
      <c r="T109" s="49">
        <f t="shared" si="88"/>
        <v>0</v>
      </c>
      <c r="U109" s="280"/>
      <c r="V109" s="49">
        <f t="shared" si="104"/>
        <v>0</v>
      </c>
      <c r="W109" s="280"/>
      <c r="X109" s="49">
        <f t="shared" si="105"/>
        <v>0</v>
      </c>
      <c r="Y109" s="280"/>
      <c r="Z109" s="49">
        <f t="shared" si="91"/>
        <v>0</v>
      </c>
      <c r="AA109" s="320">
        <f t="shared" si="106"/>
        <v>0</v>
      </c>
      <c r="AB109" s="49">
        <f t="shared" si="110"/>
        <v>0</v>
      </c>
      <c r="AC109" s="124">
        <f t="shared" si="107"/>
        <v>0</v>
      </c>
      <c r="AD109" s="49">
        <f t="shared" si="111"/>
        <v>0</v>
      </c>
      <c r="AE109" s="214"/>
      <c r="AF109" s="54"/>
      <c r="AI109" s="21"/>
    </row>
    <row r="110" spans="1:35" s="289" customFormat="1">
      <c r="A110" s="2">
        <v>6317</v>
      </c>
      <c r="B110" s="2" t="s">
        <v>243</v>
      </c>
      <c r="C110" s="280"/>
      <c r="D110" s="49">
        <f t="shared" si="96"/>
        <v>0</v>
      </c>
      <c r="E110" s="280">
        <v>812.5</v>
      </c>
      <c r="F110" s="49">
        <f t="shared" si="97"/>
        <v>7.2792918704868391E-3</v>
      </c>
      <c r="G110" s="280"/>
      <c r="H110" s="49">
        <f t="shared" si="98"/>
        <v>0</v>
      </c>
      <c r="I110" s="280">
        <v>4071.5</v>
      </c>
      <c r="J110" s="49">
        <f t="shared" si="99"/>
        <v>2.4904207955506186E-2</v>
      </c>
      <c r="K110" s="280">
        <v>899</v>
      </c>
      <c r="L110" s="49">
        <f t="shared" si="100"/>
        <v>6.0123727991874586E-3</v>
      </c>
      <c r="M110" s="280"/>
      <c r="N110" s="49">
        <f t="shared" si="101"/>
        <v>0</v>
      </c>
      <c r="O110" s="280"/>
      <c r="P110" s="49">
        <f t="shared" si="102"/>
        <v>0</v>
      </c>
      <c r="Q110" s="280">
        <v>2734.5</v>
      </c>
      <c r="R110" s="49">
        <f t="shared" si="103"/>
        <v>1.6405228395098531E-2</v>
      </c>
      <c r="S110" s="280"/>
      <c r="T110" s="49">
        <f t="shared" si="88"/>
        <v>0</v>
      </c>
      <c r="U110" s="280">
        <v>812.5</v>
      </c>
      <c r="V110" s="49">
        <f t="shared" si="104"/>
        <v>6.10026119250322E-3</v>
      </c>
      <c r="W110" s="280"/>
      <c r="X110" s="49">
        <f t="shared" si="105"/>
        <v>0</v>
      </c>
      <c r="Y110" s="280"/>
      <c r="Z110" s="49">
        <f t="shared" si="91"/>
        <v>0</v>
      </c>
      <c r="AA110" s="320">
        <f t="shared" si="106"/>
        <v>9330</v>
      </c>
      <c r="AB110" s="49">
        <f t="shared" si="110"/>
        <v>4.891148895981706E-3</v>
      </c>
      <c r="AC110" s="124">
        <f t="shared" si="107"/>
        <v>777.5</v>
      </c>
      <c r="AD110" s="49">
        <f t="shared" si="111"/>
        <v>4.891148895981706E-3</v>
      </c>
      <c r="AE110" s="214"/>
      <c r="AF110" s="54"/>
      <c r="AI110" s="21"/>
    </row>
    <row r="111" spans="1:35" s="289" customFormat="1">
      <c r="A111" s="2">
        <v>6318</v>
      </c>
      <c r="B111" s="2" t="s">
        <v>244</v>
      </c>
      <c r="C111" s="280"/>
      <c r="D111" s="49">
        <f t="shared" si="96"/>
        <v>0</v>
      </c>
      <c r="E111" s="280"/>
      <c r="F111" s="49">
        <f t="shared" si="97"/>
        <v>0</v>
      </c>
      <c r="G111" s="280"/>
      <c r="H111" s="49">
        <f t="shared" si="98"/>
        <v>0</v>
      </c>
      <c r="I111" s="280"/>
      <c r="J111" s="49">
        <f t="shared" si="99"/>
        <v>0</v>
      </c>
      <c r="K111" s="280"/>
      <c r="L111" s="49">
        <f t="shared" si="100"/>
        <v>0</v>
      </c>
      <c r="M111" s="280"/>
      <c r="N111" s="49">
        <f t="shared" si="101"/>
        <v>0</v>
      </c>
      <c r="O111" s="280"/>
      <c r="P111" s="49">
        <f t="shared" si="102"/>
        <v>0</v>
      </c>
      <c r="Q111" s="280"/>
      <c r="R111" s="49">
        <f t="shared" si="103"/>
        <v>0</v>
      </c>
      <c r="S111" s="280"/>
      <c r="T111" s="49">
        <f t="shared" si="88"/>
        <v>0</v>
      </c>
      <c r="U111" s="280"/>
      <c r="V111" s="49">
        <f t="shared" si="104"/>
        <v>0</v>
      </c>
      <c r="W111" s="280"/>
      <c r="X111" s="49">
        <f t="shared" si="105"/>
        <v>0</v>
      </c>
      <c r="Y111" s="280"/>
      <c r="Z111" s="49">
        <f t="shared" si="91"/>
        <v>0</v>
      </c>
      <c r="AA111" s="320">
        <f t="shared" si="106"/>
        <v>0</v>
      </c>
      <c r="AB111" s="49">
        <f t="shared" si="110"/>
        <v>0</v>
      </c>
      <c r="AC111" s="124">
        <f t="shared" si="107"/>
        <v>0</v>
      </c>
      <c r="AD111" s="49">
        <f t="shared" si="111"/>
        <v>0</v>
      </c>
      <c r="AE111" s="214"/>
      <c r="AF111" s="54"/>
      <c r="AI111" s="21"/>
    </row>
    <row r="112" spans="1:35" s="289" customFormat="1">
      <c r="A112" s="2">
        <v>6319</v>
      </c>
      <c r="B112" s="2" t="s">
        <v>245</v>
      </c>
      <c r="C112" s="280"/>
      <c r="D112" s="49">
        <f t="shared" si="96"/>
        <v>0</v>
      </c>
      <c r="E112" s="280">
        <v>2162.4</v>
      </c>
      <c r="F112" s="49">
        <f t="shared" si="97"/>
        <v>1.9373219373219373E-2</v>
      </c>
      <c r="G112" s="280">
        <v>2162.4</v>
      </c>
      <c r="H112" s="49">
        <f t="shared" si="98"/>
        <v>1.1679176215150498E-2</v>
      </c>
      <c r="I112" s="280">
        <v>2162.4</v>
      </c>
      <c r="J112" s="49">
        <f t="shared" si="99"/>
        <v>1.3226786020627922E-2</v>
      </c>
      <c r="K112" s="280">
        <v>2162.4</v>
      </c>
      <c r="L112" s="49">
        <f t="shared" si="100"/>
        <v>1.4461796374819756E-2</v>
      </c>
      <c r="M112" s="280"/>
      <c r="N112" s="49">
        <f t="shared" si="101"/>
        <v>0</v>
      </c>
      <c r="O112" s="280">
        <v>2162.4</v>
      </c>
      <c r="P112" s="49">
        <f t="shared" si="102"/>
        <v>1.6109079363776205E-2</v>
      </c>
      <c r="Q112" s="280">
        <v>2162.4</v>
      </c>
      <c r="R112" s="49">
        <f t="shared" si="103"/>
        <v>1.2972999042443251E-2</v>
      </c>
      <c r="S112" s="280">
        <v>2162.4</v>
      </c>
      <c r="T112" s="49">
        <f t="shared" si="88"/>
        <v>1.2877968957982667E-2</v>
      </c>
      <c r="U112" s="280">
        <v>2162.4</v>
      </c>
      <c r="V112" s="49">
        <f t="shared" si="104"/>
        <v>1.6235328987900262E-2</v>
      </c>
      <c r="W112" s="280">
        <v>2162.4</v>
      </c>
      <c r="X112" s="49">
        <f t="shared" si="105"/>
        <v>1.5957014255897489E-2</v>
      </c>
      <c r="Y112" s="280">
        <v>2162.4</v>
      </c>
      <c r="Z112" s="49">
        <f t="shared" si="91"/>
        <v>1.056291784595019E-2</v>
      </c>
      <c r="AA112" s="320">
        <f t="shared" si="106"/>
        <v>21624.000000000004</v>
      </c>
      <c r="AB112" s="49">
        <f t="shared" si="110"/>
        <v>1.1336141878532522E-2</v>
      </c>
      <c r="AC112" s="124">
        <f t="shared" si="107"/>
        <v>1802.0000000000002</v>
      </c>
      <c r="AD112" s="49">
        <f t="shared" si="111"/>
        <v>1.133614187853252E-2</v>
      </c>
      <c r="AE112" s="214"/>
      <c r="AF112" s="54"/>
      <c r="AI112" s="21"/>
    </row>
    <row r="113" spans="1:35" s="289" customFormat="1">
      <c r="A113" s="2">
        <v>6320</v>
      </c>
      <c r="B113" s="2" t="s">
        <v>246</v>
      </c>
      <c r="C113" s="280"/>
      <c r="D113" s="49">
        <f t="shared" si="96"/>
        <v>0</v>
      </c>
      <c r="E113" s="280"/>
      <c r="F113" s="49">
        <f t="shared" si="97"/>
        <v>0</v>
      </c>
      <c r="G113" s="280"/>
      <c r="H113" s="49">
        <f t="shared" si="98"/>
        <v>0</v>
      </c>
      <c r="I113" s="280"/>
      <c r="J113" s="49">
        <f t="shared" si="99"/>
        <v>0</v>
      </c>
      <c r="K113" s="280"/>
      <c r="L113" s="49">
        <f t="shared" si="100"/>
        <v>0</v>
      </c>
      <c r="M113" s="280"/>
      <c r="N113" s="49">
        <f t="shared" si="101"/>
        <v>0</v>
      </c>
      <c r="O113" s="280"/>
      <c r="P113" s="49">
        <f t="shared" si="102"/>
        <v>0</v>
      </c>
      <c r="Q113" s="280"/>
      <c r="R113" s="49">
        <f t="shared" si="103"/>
        <v>0</v>
      </c>
      <c r="S113" s="280"/>
      <c r="T113" s="49">
        <f t="shared" si="88"/>
        <v>0</v>
      </c>
      <c r="U113" s="280"/>
      <c r="V113" s="49">
        <f t="shared" si="104"/>
        <v>0</v>
      </c>
      <c r="W113" s="280"/>
      <c r="X113" s="49">
        <f t="shared" si="105"/>
        <v>0</v>
      </c>
      <c r="Y113" s="280"/>
      <c r="Z113" s="49">
        <f t="shared" si="91"/>
        <v>0</v>
      </c>
      <c r="AA113" s="320">
        <f t="shared" si="106"/>
        <v>0</v>
      </c>
      <c r="AB113" s="49">
        <f t="shared" si="110"/>
        <v>0</v>
      </c>
      <c r="AC113" s="124">
        <f t="shared" si="107"/>
        <v>0</v>
      </c>
      <c r="AD113" s="49">
        <f t="shared" si="111"/>
        <v>0</v>
      </c>
      <c r="AE113" s="214"/>
      <c r="AF113" s="54"/>
      <c r="AI113" s="21"/>
    </row>
    <row r="114" spans="1:35" s="289" customFormat="1">
      <c r="A114" s="2">
        <v>6321</v>
      </c>
      <c r="B114" s="2" t="s">
        <v>247</v>
      </c>
      <c r="C114" s="350"/>
      <c r="D114" s="132">
        <f t="shared" si="96"/>
        <v>0</v>
      </c>
      <c r="E114" s="350"/>
      <c r="F114" s="132">
        <f t="shared" si="97"/>
        <v>0</v>
      </c>
      <c r="G114" s="350"/>
      <c r="H114" s="132">
        <f t="shared" si="98"/>
        <v>0</v>
      </c>
      <c r="I114" s="350"/>
      <c r="J114" s="132">
        <f t="shared" si="99"/>
        <v>0</v>
      </c>
      <c r="K114" s="350"/>
      <c r="L114" s="132">
        <f t="shared" si="100"/>
        <v>0</v>
      </c>
      <c r="M114" s="350"/>
      <c r="N114" s="132">
        <f t="shared" si="101"/>
        <v>0</v>
      </c>
      <c r="O114" s="350"/>
      <c r="P114" s="132">
        <f t="shared" si="102"/>
        <v>0</v>
      </c>
      <c r="Q114" s="350"/>
      <c r="R114" s="132">
        <f t="shared" si="103"/>
        <v>0</v>
      </c>
      <c r="S114" s="350"/>
      <c r="T114" s="132">
        <f t="shared" si="88"/>
        <v>0</v>
      </c>
      <c r="U114" s="350"/>
      <c r="V114" s="132">
        <f t="shared" si="104"/>
        <v>0</v>
      </c>
      <c r="W114" s="350"/>
      <c r="X114" s="132">
        <f t="shared" si="105"/>
        <v>0</v>
      </c>
      <c r="Y114" s="350"/>
      <c r="Z114" s="132">
        <f t="shared" si="91"/>
        <v>0</v>
      </c>
      <c r="AA114" s="583">
        <f t="shared" si="106"/>
        <v>0</v>
      </c>
      <c r="AB114" s="132">
        <f t="shared" si="110"/>
        <v>0</v>
      </c>
      <c r="AC114" s="584">
        <f t="shared" si="107"/>
        <v>0</v>
      </c>
      <c r="AD114" s="132">
        <f t="shared" si="111"/>
        <v>0</v>
      </c>
      <c r="AE114" s="214"/>
      <c r="AF114" s="54"/>
      <c r="AI114" s="21"/>
    </row>
    <row r="115" spans="1:35" s="1" customFormat="1" ht="15.75" thickBot="1">
      <c r="A115" s="4">
        <v>6399</v>
      </c>
      <c r="B115" s="4" t="s">
        <v>115</v>
      </c>
      <c r="C115" s="344">
        <f>SUM(C94:C114)</f>
        <v>3510.1871065856226</v>
      </c>
      <c r="D115" s="345">
        <f>C115/C12</f>
        <v>2.4466690178894406E-2</v>
      </c>
      <c r="E115" s="344">
        <f>SUM(E94:E114)</f>
        <v>4810.0792884569801</v>
      </c>
      <c r="F115" s="345">
        <f>E115/E12</f>
        <v>4.3094118228753246E-2</v>
      </c>
      <c r="G115" s="344">
        <f>SUM(G94:G114)</f>
        <v>5353.5789982524857</v>
      </c>
      <c r="H115" s="345">
        <f>G115/G12</f>
        <v>2.8914813402848526E-2</v>
      </c>
      <c r="I115" s="344">
        <f>SUM(I94:I114)</f>
        <v>8001.1884350738401</v>
      </c>
      <c r="J115" s="345">
        <f>I115/I12</f>
        <v>4.8940994885980603E-2</v>
      </c>
      <c r="K115" s="344">
        <f>SUM(K94:K114)</f>
        <v>5425.7580425882261</v>
      </c>
      <c r="L115" s="345">
        <f>K115/K12</f>
        <v>3.6286629666551766E-2</v>
      </c>
      <c r="M115" s="344">
        <f>SUM(M94:M114)</f>
        <v>990.63905567664824</v>
      </c>
      <c r="N115" s="345">
        <f>M115/M12</f>
        <v>4.6722886481422284E-3</v>
      </c>
      <c r="O115" s="344">
        <f>SUM(O94:O114)</f>
        <v>3441.7921573463564</v>
      </c>
      <c r="P115" s="345">
        <f>O115/O12</f>
        <v>2.5640077236549656E-2</v>
      </c>
      <c r="Q115" s="344">
        <f>SUM(Q94:Q114)</f>
        <v>6155.6028011719391</v>
      </c>
      <c r="R115" s="345">
        <f>Q115/Q12</f>
        <v>3.6929628766770514E-2</v>
      </c>
      <c r="S115" s="344">
        <f>SUM(S94:S114)</f>
        <v>3689.8288620834182</v>
      </c>
      <c r="T115" s="345">
        <f>S115/S12</f>
        <v>2.1974427278107087E-2</v>
      </c>
      <c r="U115" s="344">
        <f>SUM(U94:U114)</f>
        <v>3919.2355509000399</v>
      </c>
      <c r="V115" s="345">
        <f>U115/U12</f>
        <v>2.9425674505150143E-2</v>
      </c>
      <c r="W115" s="344">
        <f>SUM(W94:W114)</f>
        <v>3459.3001364286119</v>
      </c>
      <c r="X115" s="345">
        <f>W115/W12</f>
        <v>2.5527238990205092E-2</v>
      </c>
      <c r="Y115" s="344">
        <f>SUM(Y94:Y114)</f>
        <v>3467.814798709559</v>
      </c>
      <c r="Z115" s="345">
        <f>Y115/Y12</f>
        <v>1.6939623947345248E-2</v>
      </c>
      <c r="AA115" s="344">
        <f>SUM(AA94:AA114)</f>
        <v>52225.005233273725</v>
      </c>
      <c r="AB115" s="345">
        <f>AA115/AA12</f>
        <v>2.7378379066384309E-2</v>
      </c>
      <c r="AC115" s="346">
        <f t="shared" ref="AC115" si="112">AA115/12</f>
        <v>4352.0837694394768</v>
      </c>
      <c r="AD115" s="345">
        <f>AC115/AC12</f>
        <v>2.7378379066384306E-2</v>
      </c>
      <c r="AE115" s="218"/>
      <c r="AF115" s="219"/>
      <c r="AG115" s="209"/>
      <c r="AH115" s="134"/>
      <c r="AI115" s="21">
        <f t="shared" si="79"/>
        <v>31332.01825796517</v>
      </c>
    </row>
    <row r="116" spans="1:35" s="1" customFormat="1" ht="15.75" thickTop="1">
      <c r="A116" s="20">
        <v>6401</v>
      </c>
      <c r="B116" s="20" t="s">
        <v>89</v>
      </c>
      <c r="C116" s="175"/>
      <c r="D116" s="49">
        <f t="shared" ref="D116:D122" si="113">C116/C$12</f>
        <v>0</v>
      </c>
      <c r="E116" s="175"/>
      <c r="F116" s="146">
        <f t="shared" ref="F116:F122" si="114">E116/E$12</f>
        <v>0</v>
      </c>
      <c r="G116" s="175"/>
      <c r="H116" s="49">
        <f t="shared" ref="H116:H122" si="115">G116/G$12</f>
        <v>0</v>
      </c>
      <c r="I116" s="175"/>
      <c r="J116" s="146">
        <f t="shared" ref="J116:J122" si="116">I116/I$12</f>
        <v>0</v>
      </c>
      <c r="K116" s="175"/>
      <c r="L116" s="49">
        <f t="shared" ref="L116:L122" si="117">K116/K$12</f>
        <v>0</v>
      </c>
      <c r="M116" s="175"/>
      <c r="N116" s="146">
        <f t="shared" ref="N116:N122" si="118">M116/M$12</f>
        <v>0</v>
      </c>
      <c r="O116" s="175"/>
      <c r="P116" s="146">
        <f t="shared" ref="P116:P122" si="119">O116/O$12</f>
        <v>0</v>
      </c>
      <c r="Q116" s="175"/>
      <c r="R116" s="146">
        <f t="shared" ref="R116:R122" si="120">Q116/Q$12</f>
        <v>0</v>
      </c>
      <c r="S116" s="175"/>
      <c r="T116" s="146">
        <f t="shared" si="88"/>
        <v>0</v>
      </c>
      <c r="U116" s="175"/>
      <c r="V116" s="146">
        <f t="shared" ref="V116:V122" si="121">U116/U$12</f>
        <v>0</v>
      </c>
      <c r="W116" s="175"/>
      <c r="X116" s="146">
        <f t="shared" ref="X116:X122" si="122">W116/W$12</f>
        <v>0</v>
      </c>
      <c r="Y116" s="175"/>
      <c r="Z116" s="146">
        <f t="shared" si="91"/>
        <v>0</v>
      </c>
      <c r="AA116" s="105">
        <f t="shared" ref="AA116:AA128" si="123">C116+E116+G116+I116+K116+M116+O116+Q116+S116+U116+W116+Y116</f>
        <v>0</v>
      </c>
      <c r="AB116" s="108">
        <f t="shared" si="93"/>
        <v>0</v>
      </c>
      <c r="AC116" s="89">
        <f t="shared" ref="AC116:AC128" si="124">AA116/12</f>
        <v>0</v>
      </c>
      <c r="AD116" s="92">
        <f t="shared" si="95"/>
        <v>0</v>
      </c>
      <c r="AE116" s="214"/>
      <c r="AF116" s="54"/>
      <c r="AG116" s="1" t="s">
        <v>149</v>
      </c>
      <c r="AH116" s="289"/>
      <c r="AI116" s="21">
        <f t="shared" si="79"/>
        <v>0</v>
      </c>
    </row>
    <row r="117" spans="1:35" s="5" customFormat="1">
      <c r="A117" s="128">
        <v>6402</v>
      </c>
      <c r="B117" s="20" t="s">
        <v>75</v>
      </c>
      <c r="C117" s="176">
        <v>100</v>
      </c>
      <c r="D117" s="49">
        <f t="shared" si="113"/>
        <v>6.9701954442802578E-4</v>
      </c>
      <c r="E117" s="176">
        <v>100</v>
      </c>
      <c r="F117" s="49">
        <f t="shared" si="114"/>
        <v>8.9591284559838017E-4</v>
      </c>
      <c r="G117" s="176">
        <v>100</v>
      </c>
      <c r="H117" s="49">
        <f t="shared" si="115"/>
        <v>5.4010248867695598E-4</v>
      </c>
      <c r="I117" s="176">
        <v>100</v>
      </c>
      <c r="J117" s="49">
        <f t="shared" si="116"/>
        <v>6.1167156958138742E-4</v>
      </c>
      <c r="K117" s="176">
        <v>100</v>
      </c>
      <c r="L117" s="49">
        <f t="shared" si="117"/>
        <v>6.6878451603864938E-4</v>
      </c>
      <c r="M117" s="176">
        <v>100</v>
      </c>
      <c r="N117" s="49">
        <f t="shared" si="118"/>
        <v>4.7164389707519234E-4</v>
      </c>
      <c r="O117" s="176">
        <v>100</v>
      </c>
      <c r="P117" s="49">
        <f t="shared" si="119"/>
        <v>7.4496297464743822E-4</v>
      </c>
      <c r="Q117" s="176">
        <v>100</v>
      </c>
      <c r="R117" s="49">
        <f t="shared" si="120"/>
        <v>5.9993521283958798E-4</v>
      </c>
      <c r="S117" s="176">
        <v>100</v>
      </c>
      <c r="T117" s="49">
        <f t="shared" si="88"/>
        <v>5.9554055484566527E-4</v>
      </c>
      <c r="U117" s="176">
        <v>100</v>
      </c>
      <c r="V117" s="49">
        <f t="shared" si="121"/>
        <v>7.5080137753885787E-4</v>
      </c>
      <c r="W117" s="176">
        <v>100</v>
      </c>
      <c r="X117" s="49">
        <f t="shared" si="122"/>
        <v>7.3793073695419388E-4</v>
      </c>
      <c r="Y117" s="176">
        <v>100</v>
      </c>
      <c r="Z117" s="49">
        <f t="shared" si="91"/>
        <v>4.8848121744127769E-4</v>
      </c>
      <c r="AA117" s="105">
        <f t="shared" si="123"/>
        <v>1200</v>
      </c>
      <c r="AB117" s="108">
        <f t="shared" si="93"/>
        <v>6.2908667472433516E-4</v>
      </c>
      <c r="AC117" s="124">
        <f t="shared" si="124"/>
        <v>100</v>
      </c>
      <c r="AD117" s="92">
        <f t="shared" si="95"/>
        <v>6.2908667472433516E-4</v>
      </c>
      <c r="AE117" s="144"/>
      <c r="AF117" s="54"/>
      <c r="AG117" s="5" t="s">
        <v>159</v>
      </c>
      <c r="AI117" s="21">
        <f t="shared" si="79"/>
        <v>509</v>
      </c>
    </row>
    <row r="118" spans="1:35" s="5" customFormat="1">
      <c r="A118" s="128">
        <v>6403</v>
      </c>
      <c r="B118" s="20" t="s">
        <v>277</v>
      </c>
      <c r="C118" s="176"/>
      <c r="D118" s="49"/>
      <c r="E118" s="176"/>
      <c r="F118" s="49"/>
      <c r="G118" s="176"/>
      <c r="H118" s="49"/>
      <c r="I118" s="176"/>
      <c r="J118" s="49"/>
      <c r="K118" s="176"/>
      <c r="L118" s="49"/>
      <c r="M118" s="176"/>
      <c r="N118" s="49"/>
      <c r="O118" s="176"/>
      <c r="P118" s="49"/>
      <c r="Q118" s="176"/>
      <c r="R118" s="49"/>
      <c r="S118" s="176"/>
      <c r="T118" s="49"/>
      <c r="U118" s="176"/>
      <c r="V118" s="49"/>
      <c r="W118" s="176"/>
      <c r="X118" s="49"/>
      <c r="Y118" s="176"/>
      <c r="Z118" s="49"/>
      <c r="AA118" s="105">
        <f t="shared" si="123"/>
        <v>0</v>
      </c>
      <c r="AB118" s="108">
        <f t="shared" si="93"/>
        <v>0</v>
      </c>
      <c r="AC118" s="124">
        <f t="shared" si="124"/>
        <v>0</v>
      </c>
      <c r="AD118" s="92">
        <f t="shared" si="95"/>
        <v>0</v>
      </c>
      <c r="AE118" s="144"/>
      <c r="AF118" s="54"/>
      <c r="AI118" s="21"/>
    </row>
    <row r="119" spans="1:35" s="1" customFormat="1">
      <c r="A119" s="2">
        <v>6404</v>
      </c>
      <c r="B119" s="147" t="s">
        <v>92</v>
      </c>
      <c r="C119" s="176">
        <v>250</v>
      </c>
      <c r="D119" s="49">
        <f t="shared" si="113"/>
        <v>1.7425488610700644E-3</v>
      </c>
      <c r="E119" s="176">
        <v>250</v>
      </c>
      <c r="F119" s="49">
        <f t="shared" si="114"/>
        <v>2.2397821139959503E-3</v>
      </c>
      <c r="G119" s="176">
        <v>250</v>
      </c>
      <c r="H119" s="49">
        <f t="shared" si="115"/>
        <v>1.3502562216923899E-3</v>
      </c>
      <c r="I119" s="176">
        <v>250</v>
      </c>
      <c r="J119" s="49">
        <f t="shared" si="116"/>
        <v>1.5291789239534684E-3</v>
      </c>
      <c r="K119" s="176">
        <v>250</v>
      </c>
      <c r="L119" s="49">
        <f t="shared" si="117"/>
        <v>1.6719612900966236E-3</v>
      </c>
      <c r="M119" s="176">
        <v>250</v>
      </c>
      <c r="N119" s="49">
        <f t="shared" si="118"/>
        <v>1.1791097426879808E-3</v>
      </c>
      <c r="O119" s="176">
        <v>250</v>
      </c>
      <c r="P119" s="49">
        <f t="shared" si="119"/>
        <v>1.8624074366185956E-3</v>
      </c>
      <c r="Q119" s="176">
        <v>250</v>
      </c>
      <c r="R119" s="49">
        <f t="shared" si="120"/>
        <v>1.4998380320989698E-3</v>
      </c>
      <c r="S119" s="176">
        <v>250</v>
      </c>
      <c r="T119" s="49">
        <f t="shared" si="88"/>
        <v>1.4888513871141632E-3</v>
      </c>
      <c r="U119" s="176">
        <v>250</v>
      </c>
      <c r="V119" s="49">
        <f t="shared" si="121"/>
        <v>1.8770034438471447E-3</v>
      </c>
      <c r="W119" s="176">
        <v>250</v>
      </c>
      <c r="X119" s="49">
        <f t="shared" si="122"/>
        <v>1.8448268423854846E-3</v>
      </c>
      <c r="Y119" s="176">
        <v>250</v>
      </c>
      <c r="Z119" s="49">
        <f t="shared" si="91"/>
        <v>1.2212030436031941E-3</v>
      </c>
      <c r="AA119" s="105">
        <f t="shared" si="123"/>
        <v>3000</v>
      </c>
      <c r="AB119" s="108">
        <f t="shared" si="93"/>
        <v>1.5727166868108381E-3</v>
      </c>
      <c r="AC119" s="124">
        <f t="shared" si="124"/>
        <v>250</v>
      </c>
      <c r="AD119" s="92">
        <f t="shared" si="95"/>
        <v>1.5727166868108378E-3</v>
      </c>
      <c r="AE119" s="214" t="s">
        <v>269</v>
      </c>
      <c r="AF119" s="54"/>
      <c r="AH119" s="289"/>
      <c r="AI119" s="21">
        <f t="shared" si="79"/>
        <v>1272.5</v>
      </c>
    </row>
    <row r="120" spans="1:35" s="1" customFormat="1">
      <c r="A120" s="2">
        <v>6406</v>
      </c>
      <c r="B120" s="147" t="s">
        <v>72</v>
      </c>
      <c r="C120" s="62">
        <v>150</v>
      </c>
      <c r="D120" s="49">
        <f t="shared" si="113"/>
        <v>1.0455293166420387E-3</v>
      </c>
      <c r="E120" s="62">
        <v>150</v>
      </c>
      <c r="F120" s="49">
        <f t="shared" si="114"/>
        <v>1.3438692683975704E-3</v>
      </c>
      <c r="G120" s="62">
        <v>150</v>
      </c>
      <c r="H120" s="49">
        <f t="shared" si="115"/>
        <v>8.1015373301543403E-4</v>
      </c>
      <c r="I120" s="62">
        <v>150</v>
      </c>
      <c r="J120" s="49">
        <f t="shared" si="116"/>
        <v>9.1750735437208107E-4</v>
      </c>
      <c r="K120" s="62">
        <v>150</v>
      </c>
      <c r="L120" s="49">
        <f t="shared" si="117"/>
        <v>1.0031767740579741E-3</v>
      </c>
      <c r="M120" s="62">
        <v>150</v>
      </c>
      <c r="N120" s="49">
        <f t="shared" si="118"/>
        <v>7.0746584561278856E-4</v>
      </c>
      <c r="O120" s="62">
        <v>150</v>
      </c>
      <c r="P120" s="49">
        <f t="shared" si="119"/>
        <v>1.1174444619711575E-3</v>
      </c>
      <c r="Q120" s="62">
        <v>150</v>
      </c>
      <c r="R120" s="49">
        <f t="shared" si="120"/>
        <v>8.9990281925938196E-4</v>
      </c>
      <c r="S120" s="62">
        <v>150</v>
      </c>
      <c r="T120" s="49">
        <f t="shared" si="88"/>
        <v>8.9331083226849796E-4</v>
      </c>
      <c r="U120" s="62">
        <v>150</v>
      </c>
      <c r="V120" s="49">
        <f t="shared" si="121"/>
        <v>1.1262020663082867E-3</v>
      </c>
      <c r="W120" s="62">
        <v>150</v>
      </c>
      <c r="X120" s="49">
        <f t="shared" si="122"/>
        <v>1.1068961054312909E-3</v>
      </c>
      <c r="Y120" s="62">
        <v>150</v>
      </c>
      <c r="Z120" s="49">
        <f t="shared" si="91"/>
        <v>7.3272182616191653E-4</v>
      </c>
      <c r="AA120" s="105">
        <f t="shared" si="123"/>
        <v>1800</v>
      </c>
      <c r="AB120" s="108">
        <f t="shared" si="93"/>
        <v>9.436300120865028E-4</v>
      </c>
      <c r="AC120" s="124">
        <f t="shared" si="124"/>
        <v>150</v>
      </c>
      <c r="AD120" s="92">
        <f t="shared" si="95"/>
        <v>9.4363001208650269E-4</v>
      </c>
      <c r="AE120" s="214"/>
      <c r="AF120" s="54"/>
      <c r="AG120" s="1" t="s">
        <v>160</v>
      </c>
      <c r="AH120" s="289"/>
      <c r="AI120" s="21">
        <f t="shared" si="79"/>
        <v>763.5</v>
      </c>
    </row>
    <row r="121" spans="1:35" s="1" customFormat="1">
      <c r="A121" s="2">
        <v>6407</v>
      </c>
      <c r="B121" s="147" t="s">
        <v>73</v>
      </c>
      <c r="C121" s="62">
        <v>0</v>
      </c>
      <c r="D121" s="49">
        <f t="shared" si="113"/>
        <v>0</v>
      </c>
      <c r="E121" s="62">
        <v>0</v>
      </c>
      <c r="F121" s="49">
        <f t="shared" si="114"/>
        <v>0</v>
      </c>
      <c r="G121" s="62">
        <v>0</v>
      </c>
      <c r="H121" s="49">
        <f t="shared" si="115"/>
        <v>0</v>
      </c>
      <c r="I121" s="62">
        <v>0</v>
      </c>
      <c r="J121" s="49">
        <f t="shared" si="116"/>
        <v>0</v>
      </c>
      <c r="K121" s="62">
        <v>0</v>
      </c>
      <c r="L121" s="49">
        <f t="shared" si="117"/>
        <v>0</v>
      </c>
      <c r="M121" s="62">
        <v>0</v>
      </c>
      <c r="N121" s="49">
        <f t="shared" si="118"/>
        <v>0</v>
      </c>
      <c r="O121" s="62">
        <v>0</v>
      </c>
      <c r="P121" s="49">
        <f t="shared" si="119"/>
        <v>0</v>
      </c>
      <c r="Q121" s="62">
        <v>0</v>
      </c>
      <c r="R121" s="49">
        <f t="shared" si="120"/>
        <v>0</v>
      </c>
      <c r="S121" s="62">
        <v>0</v>
      </c>
      <c r="T121" s="49">
        <f t="shared" si="88"/>
        <v>0</v>
      </c>
      <c r="U121" s="62">
        <v>0</v>
      </c>
      <c r="V121" s="49">
        <f t="shared" si="121"/>
        <v>0</v>
      </c>
      <c r="W121" s="62">
        <v>0</v>
      </c>
      <c r="X121" s="49">
        <f t="shared" si="122"/>
        <v>0</v>
      </c>
      <c r="Y121" s="62">
        <v>0</v>
      </c>
      <c r="Z121" s="49">
        <f t="shared" si="91"/>
        <v>0</v>
      </c>
      <c r="AA121" s="105">
        <f t="shared" si="123"/>
        <v>0</v>
      </c>
      <c r="AB121" s="108">
        <f t="shared" si="93"/>
        <v>0</v>
      </c>
      <c r="AC121" s="124">
        <f t="shared" si="124"/>
        <v>0</v>
      </c>
      <c r="AD121" s="92">
        <f t="shared" si="95"/>
        <v>0</v>
      </c>
      <c r="AE121" s="214"/>
      <c r="AF121" s="54"/>
      <c r="AH121" s="289"/>
      <c r="AI121" s="21">
        <f t="shared" si="79"/>
        <v>0</v>
      </c>
    </row>
    <row r="122" spans="1:35" s="1" customFormat="1">
      <c r="A122" s="2">
        <v>6408</v>
      </c>
      <c r="B122" s="147" t="s">
        <v>42</v>
      </c>
      <c r="C122" s="62">
        <v>0</v>
      </c>
      <c r="D122" s="49">
        <f t="shared" si="113"/>
        <v>0</v>
      </c>
      <c r="E122" s="62">
        <v>0</v>
      </c>
      <c r="F122" s="49">
        <f t="shared" si="114"/>
        <v>0</v>
      </c>
      <c r="G122" s="62">
        <v>0</v>
      </c>
      <c r="H122" s="49">
        <f t="shared" si="115"/>
        <v>0</v>
      </c>
      <c r="I122" s="62">
        <v>0</v>
      </c>
      <c r="J122" s="49">
        <f t="shared" si="116"/>
        <v>0</v>
      </c>
      <c r="K122" s="62">
        <v>0</v>
      </c>
      <c r="L122" s="49">
        <f t="shared" si="117"/>
        <v>0</v>
      </c>
      <c r="M122" s="62">
        <v>0</v>
      </c>
      <c r="N122" s="49">
        <f t="shared" si="118"/>
        <v>0</v>
      </c>
      <c r="O122" s="62">
        <v>0</v>
      </c>
      <c r="P122" s="49">
        <f t="shared" si="119"/>
        <v>0</v>
      </c>
      <c r="Q122" s="62">
        <v>0</v>
      </c>
      <c r="R122" s="49">
        <f t="shared" si="120"/>
        <v>0</v>
      </c>
      <c r="S122" s="62">
        <v>0</v>
      </c>
      <c r="T122" s="49">
        <f t="shared" si="88"/>
        <v>0</v>
      </c>
      <c r="U122" s="62">
        <v>0</v>
      </c>
      <c r="V122" s="49">
        <f t="shared" si="121"/>
        <v>0</v>
      </c>
      <c r="W122" s="62">
        <v>0</v>
      </c>
      <c r="X122" s="49">
        <f t="shared" si="122"/>
        <v>0</v>
      </c>
      <c r="Y122" s="62">
        <v>0</v>
      </c>
      <c r="Z122" s="49">
        <f t="shared" si="91"/>
        <v>0</v>
      </c>
      <c r="AA122" s="105">
        <f t="shared" si="123"/>
        <v>0</v>
      </c>
      <c r="AB122" s="108">
        <f t="shared" si="93"/>
        <v>0</v>
      </c>
      <c r="AC122" s="124">
        <f t="shared" si="124"/>
        <v>0</v>
      </c>
      <c r="AD122" s="92">
        <f t="shared" si="95"/>
        <v>0</v>
      </c>
      <c r="AE122" s="214"/>
      <c r="AF122" s="54"/>
      <c r="AH122" s="289"/>
      <c r="AI122" s="21">
        <f t="shared" si="79"/>
        <v>0</v>
      </c>
    </row>
    <row r="123" spans="1:35" s="1" customFormat="1">
      <c r="A123" s="2">
        <v>6410</v>
      </c>
      <c r="B123" s="147" t="s">
        <v>105</v>
      </c>
      <c r="C123" s="62"/>
      <c r="D123" s="49"/>
      <c r="E123" s="62"/>
      <c r="F123" s="49"/>
      <c r="G123" s="62"/>
      <c r="H123" s="49"/>
      <c r="I123" s="62"/>
      <c r="J123" s="49"/>
      <c r="K123" s="62"/>
      <c r="L123" s="49"/>
      <c r="M123" s="62"/>
      <c r="N123" s="49"/>
      <c r="O123" s="62"/>
      <c r="P123" s="49"/>
      <c r="Q123" s="62"/>
      <c r="R123" s="49"/>
      <c r="S123" s="62"/>
      <c r="T123" s="49"/>
      <c r="U123" s="62"/>
      <c r="V123" s="49"/>
      <c r="W123" s="62"/>
      <c r="X123" s="49"/>
      <c r="Y123" s="62"/>
      <c r="Z123" s="49"/>
      <c r="AA123" s="105">
        <f t="shared" si="123"/>
        <v>0</v>
      </c>
      <c r="AB123" s="108"/>
      <c r="AC123" s="124">
        <f t="shared" si="124"/>
        <v>0</v>
      </c>
      <c r="AD123" s="92"/>
      <c r="AE123" s="214"/>
      <c r="AF123" s="54"/>
      <c r="AH123" s="289"/>
      <c r="AI123" s="21">
        <f t="shared" si="79"/>
        <v>0</v>
      </c>
    </row>
    <row r="124" spans="1:35" s="1" customFormat="1">
      <c r="A124" s="2">
        <v>6411</v>
      </c>
      <c r="B124" s="147" t="s">
        <v>117</v>
      </c>
      <c r="C124" s="62"/>
      <c r="D124" s="49"/>
      <c r="E124" s="62"/>
      <c r="F124" s="49"/>
      <c r="G124" s="62"/>
      <c r="H124" s="49"/>
      <c r="I124" s="62"/>
      <c r="J124" s="49"/>
      <c r="K124" s="62"/>
      <c r="L124" s="49"/>
      <c r="M124" s="62"/>
      <c r="N124" s="49"/>
      <c r="O124" s="62"/>
      <c r="P124" s="49"/>
      <c r="Q124" s="62"/>
      <c r="R124" s="49"/>
      <c r="S124" s="62"/>
      <c r="T124" s="49"/>
      <c r="U124" s="62"/>
      <c r="V124" s="49"/>
      <c r="W124" s="62"/>
      <c r="X124" s="49"/>
      <c r="Y124" s="62"/>
      <c r="Z124" s="49"/>
      <c r="AA124" s="105">
        <f t="shared" si="123"/>
        <v>0</v>
      </c>
      <c r="AB124" s="108"/>
      <c r="AC124" s="124">
        <f t="shared" si="124"/>
        <v>0</v>
      </c>
      <c r="AD124" s="92"/>
      <c r="AE124" s="214"/>
      <c r="AF124" s="54"/>
      <c r="AH124" s="289"/>
      <c r="AI124" s="21">
        <f t="shared" si="79"/>
        <v>0</v>
      </c>
    </row>
    <row r="125" spans="1:35" s="1" customFormat="1">
      <c r="A125" s="2">
        <v>6412</v>
      </c>
      <c r="B125" s="147" t="s">
        <v>93</v>
      </c>
      <c r="C125" s="62"/>
      <c r="D125" s="49">
        <f>C125/C$12</f>
        <v>0</v>
      </c>
      <c r="E125" s="62"/>
      <c r="F125" s="49">
        <f>E125/E$12</f>
        <v>0</v>
      </c>
      <c r="G125" s="62"/>
      <c r="H125" s="49">
        <f>G125/G$12</f>
        <v>0</v>
      </c>
      <c r="I125" s="62"/>
      <c r="J125" s="49">
        <f>I125/I$12</f>
        <v>0</v>
      </c>
      <c r="K125" s="62"/>
      <c r="L125" s="49">
        <f>K125/K$12</f>
        <v>0</v>
      </c>
      <c r="M125" s="62"/>
      <c r="N125" s="49">
        <f>M125/M$12</f>
        <v>0</v>
      </c>
      <c r="O125" s="62"/>
      <c r="P125" s="49">
        <f>O125/O$12</f>
        <v>0</v>
      </c>
      <c r="Q125" s="62"/>
      <c r="R125" s="49">
        <f>Q125/Q$12</f>
        <v>0</v>
      </c>
      <c r="S125" s="62"/>
      <c r="T125" s="49">
        <f>S125/S$12</f>
        <v>0</v>
      </c>
      <c r="U125" s="62"/>
      <c r="V125" s="49">
        <f>U125/U$12</f>
        <v>0</v>
      </c>
      <c r="W125" s="62"/>
      <c r="X125" s="49">
        <f>W125/W$12</f>
        <v>0</v>
      </c>
      <c r="Y125" s="62"/>
      <c r="Z125" s="49">
        <f>Y125/Y$12</f>
        <v>0</v>
      </c>
      <c r="AA125" s="105">
        <f t="shared" si="123"/>
        <v>0</v>
      </c>
      <c r="AB125" s="108">
        <f>AA125/AA$12</f>
        <v>0</v>
      </c>
      <c r="AC125" s="124">
        <f t="shared" si="124"/>
        <v>0</v>
      </c>
      <c r="AD125" s="92">
        <f>AC125/AC$12</f>
        <v>0</v>
      </c>
      <c r="AE125" s="214"/>
      <c r="AF125" s="54"/>
      <c r="AH125" s="289"/>
      <c r="AI125" s="21">
        <f t="shared" si="79"/>
        <v>0</v>
      </c>
    </row>
    <row r="126" spans="1:35" s="1" customFormat="1">
      <c r="A126" s="128">
        <v>6413</v>
      </c>
      <c r="B126" s="20" t="s">
        <v>41</v>
      </c>
      <c r="C126" s="62">
        <f>C16*1%</f>
        <v>1434.68</v>
      </c>
      <c r="D126" s="49">
        <f>C126/C$12</f>
        <v>0.01</v>
      </c>
      <c r="E126" s="62">
        <f>E16*1%</f>
        <v>1116.18</v>
      </c>
      <c r="F126" s="49">
        <f>E126/E$12</f>
        <v>0.01</v>
      </c>
      <c r="G126" s="62">
        <f>G16*1%</f>
        <v>1851.5004484604701</v>
      </c>
      <c r="H126" s="49">
        <f>G126/G$12</f>
        <v>0.01</v>
      </c>
      <c r="I126" s="62">
        <f>I16*1%</f>
        <v>1634.8642796727904</v>
      </c>
      <c r="J126" s="49">
        <f>I126/I$12</f>
        <v>0.01</v>
      </c>
      <c r="K126" s="62">
        <f>K16*1%</f>
        <v>1495.2499288159499</v>
      </c>
      <c r="L126" s="49">
        <f>K126/K$12</f>
        <v>0.01</v>
      </c>
      <c r="M126" s="62">
        <f>M16*1%</f>
        <v>2120.2436969953496</v>
      </c>
      <c r="N126" s="49">
        <f>M126/M$12</f>
        <v>0.01</v>
      </c>
      <c r="O126" s="62">
        <f>O16*1%</f>
        <v>1342.3485918521799</v>
      </c>
      <c r="P126" s="49">
        <f>O126/O$12</f>
        <v>0.01</v>
      </c>
      <c r="Q126" s="62">
        <f>Q16*1%</f>
        <v>1666.8466504355401</v>
      </c>
      <c r="R126" s="49">
        <f>Q126/Q$12</f>
        <v>0.01</v>
      </c>
      <c r="S126" s="62">
        <f>S16*1%</f>
        <v>1679.1467715563899</v>
      </c>
      <c r="T126" s="49">
        <f>S126/S$12</f>
        <v>0.01</v>
      </c>
      <c r="U126" s="62">
        <f>U16*1%</f>
        <v>1331.9101827943102</v>
      </c>
      <c r="V126" s="49">
        <f>U126/U$12</f>
        <v>0.01</v>
      </c>
      <c r="W126" s="62">
        <f>W16*1%</f>
        <v>1355.1407332990302</v>
      </c>
      <c r="X126" s="49">
        <f>W126/W$12</f>
        <v>0.01</v>
      </c>
      <c r="Y126" s="62">
        <f>Y16*1%</f>
        <v>2047.16161910609</v>
      </c>
      <c r="Z126" s="49">
        <f>Y126/Y$12</f>
        <v>0.01</v>
      </c>
      <c r="AA126" s="105">
        <f t="shared" si="123"/>
        <v>19075.272902988101</v>
      </c>
      <c r="AB126" s="108">
        <f>AA126/AA$12</f>
        <v>0.01</v>
      </c>
      <c r="AC126" s="124">
        <f t="shared" si="124"/>
        <v>1589.6060752490084</v>
      </c>
      <c r="AD126" s="92">
        <f>AC126/AC$12</f>
        <v>0.01</v>
      </c>
      <c r="AE126" s="214" t="s">
        <v>271</v>
      </c>
      <c r="AF126" s="205">
        <v>8.6999999999999994E-3</v>
      </c>
      <c r="AG126" s="1" t="s">
        <v>180</v>
      </c>
      <c r="AH126" s="289"/>
      <c r="AI126" s="21">
        <f t="shared" si="79"/>
        <v>8484.2494507168994</v>
      </c>
    </row>
    <row r="127" spans="1:35" s="1" customFormat="1">
      <c r="A127" s="2">
        <v>6414</v>
      </c>
      <c r="B127" s="147" t="s">
        <v>43</v>
      </c>
      <c r="C127" s="62">
        <v>100</v>
      </c>
      <c r="D127" s="49">
        <f>C127/C$12</f>
        <v>6.9701954442802578E-4</v>
      </c>
      <c r="E127" s="62">
        <v>100</v>
      </c>
      <c r="F127" s="49">
        <f>E127/E$12</f>
        <v>8.9591284559838017E-4</v>
      </c>
      <c r="G127" s="62">
        <v>100</v>
      </c>
      <c r="H127" s="49">
        <f>G127/G$12</f>
        <v>5.4010248867695598E-4</v>
      </c>
      <c r="I127" s="62">
        <v>100</v>
      </c>
      <c r="J127" s="49">
        <f>I127/I$12</f>
        <v>6.1167156958138742E-4</v>
      </c>
      <c r="K127" s="62">
        <v>100</v>
      </c>
      <c r="L127" s="49">
        <f>K127/K$12</f>
        <v>6.6878451603864938E-4</v>
      </c>
      <c r="M127" s="62">
        <v>100</v>
      </c>
      <c r="N127" s="49">
        <f>M127/M$12</f>
        <v>4.7164389707519234E-4</v>
      </c>
      <c r="O127" s="62">
        <v>100</v>
      </c>
      <c r="P127" s="49">
        <f>O127/O$12</f>
        <v>7.4496297464743822E-4</v>
      </c>
      <c r="Q127" s="62">
        <v>100</v>
      </c>
      <c r="R127" s="49">
        <f>Q127/Q$12</f>
        <v>5.9993521283958798E-4</v>
      </c>
      <c r="S127" s="62">
        <v>100</v>
      </c>
      <c r="T127" s="49">
        <f>S127/S$12</f>
        <v>5.9554055484566527E-4</v>
      </c>
      <c r="U127" s="62">
        <v>100</v>
      </c>
      <c r="V127" s="49">
        <f>U127/U$12</f>
        <v>7.5080137753885787E-4</v>
      </c>
      <c r="W127" s="62">
        <v>100</v>
      </c>
      <c r="X127" s="49">
        <f>W127/W$12</f>
        <v>7.3793073695419388E-4</v>
      </c>
      <c r="Y127" s="62">
        <v>100</v>
      </c>
      <c r="Z127" s="49">
        <f>Y127/Y$12</f>
        <v>4.8848121744127769E-4</v>
      </c>
      <c r="AA127" s="105">
        <f t="shared" si="123"/>
        <v>1200</v>
      </c>
      <c r="AB127" s="108">
        <f>AA127/AA$12</f>
        <v>6.2908667472433516E-4</v>
      </c>
      <c r="AC127" s="124">
        <f t="shared" si="124"/>
        <v>100</v>
      </c>
      <c r="AD127" s="92">
        <f>AC127/AC$12</f>
        <v>6.2908667472433516E-4</v>
      </c>
      <c r="AE127" s="214" t="s">
        <v>271</v>
      </c>
      <c r="AF127" s="54">
        <v>500</v>
      </c>
      <c r="AG127" s="1" t="s">
        <v>150</v>
      </c>
      <c r="AH127" s="289"/>
      <c r="AI127" s="21">
        <f t="shared" si="79"/>
        <v>509</v>
      </c>
    </row>
    <row r="128" spans="1:35" s="1" customFormat="1">
      <c r="A128" s="2">
        <v>6415</v>
      </c>
      <c r="B128" s="147" t="s">
        <v>44</v>
      </c>
      <c r="C128" s="62"/>
      <c r="D128" s="49">
        <f>C128/C$12</f>
        <v>0</v>
      </c>
      <c r="E128" s="62"/>
      <c r="F128" s="49">
        <f>E128/E$12</f>
        <v>0</v>
      </c>
      <c r="G128" s="62"/>
      <c r="H128" s="49">
        <f>G128/G$12</f>
        <v>0</v>
      </c>
      <c r="I128" s="62"/>
      <c r="J128" s="49">
        <f>I128/I$12</f>
        <v>0</v>
      </c>
      <c r="K128" s="62"/>
      <c r="L128" s="49">
        <f>K128/K$12</f>
        <v>0</v>
      </c>
      <c r="M128" s="62"/>
      <c r="N128" s="49">
        <f>M128/M$12</f>
        <v>0</v>
      </c>
      <c r="O128" s="62"/>
      <c r="P128" s="49">
        <f>O128/O$12</f>
        <v>0</v>
      </c>
      <c r="Q128" s="62"/>
      <c r="R128" s="49">
        <f>Q128/Q$12</f>
        <v>0</v>
      </c>
      <c r="S128" s="62"/>
      <c r="T128" s="49">
        <f>S128/S$12</f>
        <v>0</v>
      </c>
      <c r="U128" s="62"/>
      <c r="V128" s="49">
        <f>U128/U$12</f>
        <v>0</v>
      </c>
      <c r="W128" s="62"/>
      <c r="X128" s="49">
        <f>W128/W$12</f>
        <v>0</v>
      </c>
      <c r="Y128" s="62"/>
      <c r="Z128" s="49">
        <f>Y128/Y$12</f>
        <v>0</v>
      </c>
      <c r="AA128" s="105">
        <f t="shared" si="123"/>
        <v>0</v>
      </c>
      <c r="AB128" s="108">
        <f>AA128/AA$12</f>
        <v>0</v>
      </c>
      <c r="AC128" s="124">
        <f t="shared" si="124"/>
        <v>0</v>
      </c>
      <c r="AD128" s="92">
        <f>AC128/AC$12</f>
        <v>0</v>
      </c>
      <c r="AE128" s="214"/>
      <c r="AF128" s="54"/>
      <c r="AH128" s="289"/>
      <c r="AI128" s="21">
        <f t="shared" si="79"/>
        <v>0</v>
      </c>
    </row>
    <row r="129" spans="1:35" s="1" customFormat="1" ht="15.75" thickBot="1">
      <c r="A129" s="4">
        <v>6499</v>
      </c>
      <c r="B129" s="4" t="s">
        <v>116</v>
      </c>
      <c r="C129" s="56">
        <f>SUM(C116:C128)</f>
        <v>2034.68</v>
      </c>
      <c r="D129" s="71">
        <f>C129/C12</f>
        <v>1.4182117266568156E-2</v>
      </c>
      <c r="E129" s="56">
        <f>SUM(E116:E128)</f>
        <v>1716.18</v>
      </c>
      <c r="F129" s="71">
        <f>E129/E12</f>
        <v>1.5375477073590282E-2</v>
      </c>
      <c r="G129" s="56">
        <f>SUM(G116:G128)</f>
        <v>2451.5004484604701</v>
      </c>
      <c r="H129" s="71">
        <f>G129/G12</f>
        <v>1.3240614932061736E-2</v>
      </c>
      <c r="I129" s="56">
        <f>SUM(I116:I128)</f>
        <v>2234.8642796727904</v>
      </c>
      <c r="J129" s="71">
        <f>I129/I12</f>
        <v>1.3670029417488324E-2</v>
      </c>
      <c r="K129" s="22">
        <f>SUM(K116:K128)</f>
        <v>2095.2499288159497</v>
      </c>
      <c r="L129" s="71">
        <f>K129/K12</f>
        <v>1.4012707096231895E-2</v>
      </c>
      <c r="M129" s="22">
        <f>SUM(M116:M128)</f>
        <v>2720.2436969953496</v>
      </c>
      <c r="N129" s="71">
        <f>M129/M12</f>
        <v>1.2829863382451154E-2</v>
      </c>
      <c r="O129" s="22">
        <f>SUM(O116:O128)</f>
        <v>1942.3485918521799</v>
      </c>
      <c r="P129" s="71">
        <f>O129/O12</f>
        <v>1.4469777847884628E-2</v>
      </c>
      <c r="Q129" s="56">
        <f>SUM(Q116:Q128)</f>
        <v>2266.8466504355401</v>
      </c>
      <c r="R129" s="71">
        <f>Q129/Q12</f>
        <v>1.3599611277037528E-2</v>
      </c>
      <c r="S129" s="38">
        <f>SUM(S116:S128)</f>
        <v>2279.1467715563899</v>
      </c>
      <c r="T129" s="71">
        <f>S129/S$12</f>
        <v>1.3573243329073992E-2</v>
      </c>
      <c r="U129" s="38">
        <f>SUM(U116:U128)</f>
        <v>1931.9101827943102</v>
      </c>
      <c r="V129" s="71">
        <f>U129/U12</f>
        <v>1.4504808265233149E-2</v>
      </c>
      <c r="W129" s="38">
        <f>SUM(W116:W128)</f>
        <v>1955.1407332990302</v>
      </c>
      <c r="X129" s="71">
        <f>W129/W12</f>
        <v>1.4427584421725164E-2</v>
      </c>
      <c r="Y129" s="38">
        <f>SUM(Y116:Y128)</f>
        <v>2647.1616191060903</v>
      </c>
      <c r="Z129" s="71">
        <f>Y129/Y$12</f>
        <v>1.2930887304647668E-2</v>
      </c>
      <c r="AA129" s="109">
        <f>SUM(AA116:AA128)</f>
        <v>26275.272902988101</v>
      </c>
      <c r="AB129" s="110">
        <f>AA129/AA$12</f>
        <v>1.3774520048346011E-2</v>
      </c>
      <c r="AC129" s="93">
        <f>SUM(AC116:AC128)</f>
        <v>2189.6060752490084</v>
      </c>
      <c r="AD129" s="94">
        <f>AC129/AC$12</f>
        <v>1.3774520048346011E-2</v>
      </c>
      <c r="AE129" s="218"/>
      <c r="AF129" s="219"/>
      <c r="AG129" s="209"/>
      <c r="AH129" s="134"/>
      <c r="AI129" s="21">
        <f t="shared" si="79"/>
        <v>11538.249450716899</v>
      </c>
    </row>
    <row r="130" spans="1:35" s="1" customFormat="1" ht="15.75" thickTop="1">
      <c r="A130" s="139"/>
      <c r="B130" s="139"/>
      <c r="C130" s="62"/>
      <c r="D130" s="82"/>
      <c r="E130" s="62"/>
      <c r="F130" s="82"/>
      <c r="G130" s="62"/>
      <c r="H130" s="82"/>
      <c r="I130" s="62"/>
      <c r="J130" s="82"/>
      <c r="K130" s="26"/>
      <c r="L130" s="82"/>
      <c r="M130" s="26"/>
      <c r="N130" s="82"/>
      <c r="O130" s="26"/>
      <c r="P130" s="82"/>
      <c r="Q130" s="45"/>
      <c r="R130" s="82"/>
      <c r="S130" s="45"/>
      <c r="T130" s="82"/>
      <c r="U130" s="45"/>
      <c r="V130" s="82"/>
      <c r="W130" s="45"/>
      <c r="X130" s="82"/>
      <c r="Y130" s="45"/>
      <c r="Z130" s="82"/>
      <c r="AA130" s="45"/>
      <c r="AB130" s="82"/>
      <c r="AC130" s="45"/>
      <c r="AD130" s="82"/>
      <c r="AE130" s="138"/>
      <c r="AF130" s="54"/>
      <c r="AH130" s="289"/>
      <c r="AI130" s="21">
        <f t="shared" si="79"/>
        <v>0</v>
      </c>
    </row>
    <row r="131" spans="1:35" s="1" customFormat="1" ht="15.75" thickBot="1">
      <c r="A131" s="142"/>
      <c r="B131" s="153" t="s">
        <v>187</v>
      </c>
      <c r="C131" s="177">
        <f>C37-C41-C76-C93-C115-C129</f>
        <v>9795.3469267476976</v>
      </c>
      <c r="D131" s="161">
        <f>C131/C12</f>
        <v>6.8275482523961428E-2</v>
      </c>
      <c r="E131" s="177">
        <f>E37-E41-E76-E93-E115-E129</f>
        <v>-6471.6847551236497</v>
      </c>
      <c r="F131" s="161">
        <f>E131/E12</f>
        <v>-5.7980655047784851E-2</v>
      </c>
      <c r="G131" s="177">
        <f>G37-G41-G76-G93-G115-G129</f>
        <v>24398.141751277177</v>
      </c>
      <c r="H131" s="161">
        <f>G131/G12</f>
        <v>0.13177497078957948</v>
      </c>
      <c r="I131" s="177">
        <f>I37-I41-I76-I93-I115-I129</f>
        <v>8617.8010538761773</v>
      </c>
      <c r="J131" s="161">
        <f>I131/I12</f>
        <v>5.2712638969645759E-2</v>
      </c>
      <c r="K131" s="186">
        <f>K37-K41-K76-K93-K115-K129</f>
        <v>14717.458074225859</v>
      </c>
      <c r="L131" s="161">
        <f>K131/K12</f>
        <v>9.8428080754902544E-2</v>
      </c>
      <c r="M131" s="186">
        <f>M37-M41-M76-M93-M115-M129</f>
        <v>19600.792224165554</v>
      </c>
      <c r="N131" s="161">
        <f>M131/M12</f>
        <v>9.2445940303665694E-2</v>
      </c>
      <c r="O131" s="186">
        <f>O37-O41-O76-O93-O115-O129</f>
        <v>-10714.712887590591</v>
      </c>
      <c r="P131" s="161">
        <f>O131/O12</f>
        <v>-7.9820643852327289E-2</v>
      </c>
      <c r="Q131" s="155">
        <f>Q37-Q41-Q76-Q93-Q115-Q129</f>
        <v>-683.7928303769113</v>
      </c>
      <c r="R131" s="161">
        <f>Q131/Q12</f>
        <v>-4.1023139723035656E-3</v>
      </c>
      <c r="S131" s="155">
        <f>S37-S41-S76-S93-S115-S129</f>
        <v>-3865.4448070775074</v>
      </c>
      <c r="T131" s="161">
        <f>S131/S12</f>
        <v>-2.3020291451322342E-2</v>
      </c>
      <c r="U131" s="155">
        <f>U37-U41-U76-U93-U115-U129</f>
        <v>-6121.6606000038473</v>
      </c>
      <c r="V131" s="161">
        <f>U131/U12</f>
        <v>-4.5961512113082401E-2</v>
      </c>
      <c r="W131" s="155">
        <f>W37-W41-W76-W93-W115-W129</f>
        <v>-2276.5389982672705</v>
      </c>
      <c r="X131" s="161">
        <f>W131/W12</f>
        <v>-1.6799281006963294E-2</v>
      </c>
      <c r="Y131" s="155">
        <f>Y37-Y41-Y76-Y93-Y115-Y129</f>
        <v>24553.788934594282</v>
      </c>
      <c r="Z131" s="161">
        <f>Y131/Y12</f>
        <v>0.11994064711566788</v>
      </c>
      <c r="AA131" s="155">
        <f>AA37-AA41-AA76-AA93-AA115-AA129</f>
        <v>71549.494086447201</v>
      </c>
      <c r="AB131" s="161">
        <f>AA131/AA12</f>
        <v>3.7509027760876293E-2</v>
      </c>
      <c r="AC131" s="159">
        <f>AC37-AC41-AC76-AC93-AC115-AC129</f>
        <v>5962.4578405372677</v>
      </c>
      <c r="AD131" s="161">
        <f>AC131/AC12</f>
        <v>3.75090277608763E-2</v>
      </c>
      <c r="AE131" s="161"/>
      <c r="AF131" s="219"/>
      <c r="AG131" s="209"/>
      <c r="AH131" s="134"/>
      <c r="AI131" s="21">
        <f t="shared" si="79"/>
        <v>-3480.5055066184782</v>
      </c>
    </row>
    <row r="132" spans="1:35" s="1" customFormat="1" ht="15.75" thickTop="1">
      <c r="B132" s="20"/>
      <c r="C132" s="167"/>
      <c r="D132" s="19"/>
      <c r="E132" s="167"/>
      <c r="F132" s="19"/>
      <c r="G132" s="167"/>
      <c r="H132" s="19"/>
      <c r="I132" s="167"/>
      <c r="J132" s="19"/>
      <c r="K132" s="135"/>
      <c r="L132" s="19"/>
      <c r="M132" s="135"/>
      <c r="N132" s="19"/>
      <c r="O132" s="135"/>
      <c r="P132" s="19"/>
      <c r="Q132" s="134"/>
      <c r="R132" s="19"/>
      <c r="S132" s="134"/>
      <c r="T132" s="19"/>
      <c r="U132" s="134"/>
      <c r="V132" s="19"/>
      <c r="W132" s="134"/>
      <c r="X132" s="19"/>
      <c r="Y132" s="134"/>
      <c r="Z132" s="19"/>
      <c r="AC132" s="134"/>
      <c r="AD132" s="19"/>
      <c r="AE132" s="134"/>
      <c r="AF132" s="54"/>
      <c r="AH132" s="289"/>
      <c r="AI132" s="21">
        <f t="shared" si="79"/>
        <v>0</v>
      </c>
    </row>
    <row r="133" spans="1:35" s="1" customFormat="1" ht="15.75" thickBot="1">
      <c r="A133" s="158"/>
      <c r="B133" s="4" t="s">
        <v>140</v>
      </c>
      <c r="C133" s="170"/>
      <c r="D133" s="171"/>
      <c r="E133" s="170"/>
      <c r="F133" s="171"/>
      <c r="G133" s="170"/>
      <c r="H133" s="171"/>
      <c r="I133" s="170"/>
      <c r="J133" s="171"/>
      <c r="K133" s="52"/>
      <c r="L133" s="171"/>
      <c r="M133" s="52"/>
      <c r="N133" s="171"/>
      <c r="O133" s="52"/>
      <c r="P133" s="171"/>
      <c r="Q133" s="170"/>
      <c r="R133" s="171"/>
      <c r="S133" s="170"/>
      <c r="T133" s="171"/>
      <c r="U133" s="170"/>
      <c r="V133" s="171"/>
      <c r="W133" s="170"/>
      <c r="X133" s="171"/>
      <c r="Y133" s="170"/>
      <c r="Z133" s="171"/>
      <c r="AA133" s="172">
        <f>C133+E133+G133+I133+K133+M133+O133+Q133+S133+U133+W133+Y133</f>
        <v>0</v>
      </c>
      <c r="AB133" s="171">
        <f>AA133/AA$12</f>
        <v>0</v>
      </c>
      <c r="AC133" s="172">
        <f>AA133/12</f>
        <v>0</v>
      </c>
      <c r="AD133" s="171">
        <f>AC133/AC$12</f>
        <v>0</v>
      </c>
      <c r="AE133" s="224"/>
      <c r="AF133" s="219"/>
      <c r="AG133" s="209"/>
      <c r="AH133" s="134"/>
      <c r="AI133" s="21">
        <f t="shared" si="79"/>
        <v>0</v>
      </c>
    </row>
    <row r="134" spans="1:35" s="1" customFormat="1" ht="15.75" customHeight="1" thickTop="1">
      <c r="B134" s="139"/>
      <c r="C134" s="167"/>
      <c r="D134" s="19"/>
      <c r="E134" s="167"/>
      <c r="F134" s="19"/>
      <c r="G134" s="167"/>
      <c r="H134" s="19"/>
      <c r="I134" s="167"/>
      <c r="J134" s="19"/>
      <c r="K134" s="135"/>
      <c r="L134" s="19"/>
      <c r="M134" s="135"/>
      <c r="N134" s="19"/>
      <c r="O134" s="135"/>
      <c r="P134" s="19"/>
      <c r="Q134" s="134"/>
      <c r="R134" s="19"/>
      <c r="S134" s="134"/>
      <c r="T134" s="19"/>
      <c r="U134" s="134"/>
      <c r="V134" s="19"/>
      <c r="W134" s="134"/>
      <c r="X134" s="19"/>
      <c r="Y134" s="134"/>
      <c r="Z134" s="19"/>
      <c r="AC134" s="134"/>
      <c r="AD134" s="19"/>
      <c r="AE134" s="134"/>
      <c r="AF134" s="54"/>
      <c r="AH134" s="289"/>
      <c r="AI134" s="21">
        <f t="shared" si="79"/>
        <v>0</v>
      </c>
    </row>
    <row r="135" spans="1:35" s="1" customFormat="1" ht="15.75" customHeight="1" thickBot="1">
      <c r="A135" s="4"/>
      <c r="B135" s="4" t="s">
        <v>131</v>
      </c>
      <c r="C135" s="56">
        <f>C131-C133</f>
        <v>9795.3469267476976</v>
      </c>
      <c r="D135" s="71">
        <f>C135/C12</f>
        <v>6.8275482523961428E-2</v>
      </c>
      <c r="E135" s="56">
        <f>E131-E133</f>
        <v>-6471.6847551236497</v>
      </c>
      <c r="F135" s="71">
        <f>E135/E12</f>
        <v>-5.7980655047784851E-2</v>
      </c>
      <c r="G135" s="56">
        <f>G131-G133</f>
        <v>24398.141751277177</v>
      </c>
      <c r="H135" s="71">
        <f>G135/G12</f>
        <v>0.13177497078957948</v>
      </c>
      <c r="I135" s="56">
        <f>I131-I133</f>
        <v>8617.8010538761773</v>
      </c>
      <c r="J135" s="71">
        <f>I135/I12</f>
        <v>5.2712638969645759E-2</v>
      </c>
      <c r="K135" s="22">
        <f>K131-K133</f>
        <v>14717.458074225859</v>
      </c>
      <c r="L135" s="71">
        <f>K135/K12</f>
        <v>9.8428080754902544E-2</v>
      </c>
      <c r="M135" s="22">
        <f>M131-M133</f>
        <v>19600.792224165554</v>
      </c>
      <c r="N135" s="71">
        <f>M135/M12</f>
        <v>9.2445940303665694E-2</v>
      </c>
      <c r="O135" s="22">
        <f>O131-O133</f>
        <v>-10714.712887590591</v>
      </c>
      <c r="P135" s="71">
        <f>O135/O12</f>
        <v>-7.9820643852327289E-2</v>
      </c>
      <c r="Q135" s="38">
        <f>Q131-Q133</f>
        <v>-683.7928303769113</v>
      </c>
      <c r="R135" s="71">
        <f>Q135/Q12</f>
        <v>-4.1023139723035656E-3</v>
      </c>
      <c r="S135" s="38">
        <f>S131-S133</f>
        <v>-3865.4448070775074</v>
      </c>
      <c r="T135" s="71">
        <f>S135/S12</f>
        <v>-2.3020291451322342E-2</v>
      </c>
      <c r="U135" s="38">
        <f>U131-U133</f>
        <v>-6121.6606000038473</v>
      </c>
      <c r="V135" s="71">
        <f>U135/U12</f>
        <v>-4.5961512113082401E-2</v>
      </c>
      <c r="W135" s="38">
        <f>W131-W133</f>
        <v>-2276.5389982672705</v>
      </c>
      <c r="X135" s="71">
        <f>W135/W12</f>
        <v>-1.6799281006963294E-2</v>
      </c>
      <c r="Y135" s="38">
        <f>Y131-Y133</f>
        <v>24553.788934594282</v>
      </c>
      <c r="Z135" s="71">
        <f>Y135/Y12</f>
        <v>0.11994064711566788</v>
      </c>
      <c r="AA135" s="38">
        <f>AA131-AA133</f>
        <v>71549.494086447201</v>
      </c>
      <c r="AB135" s="76">
        <f>AA135/AA12</f>
        <v>3.7509027760876293E-2</v>
      </c>
      <c r="AC135" s="38">
        <f>AC131-AC133</f>
        <v>5962.4578405372677</v>
      </c>
      <c r="AD135" s="71">
        <f>AC135/AC12</f>
        <v>3.75090277608763E-2</v>
      </c>
      <c r="AE135" s="225"/>
      <c r="AF135" s="219"/>
      <c r="AG135" s="209"/>
      <c r="AH135" s="134"/>
      <c r="AI135" s="21">
        <f t="shared" si="79"/>
        <v>-3480.5055066184782</v>
      </c>
    </row>
    <row r="136" spans="1:35" s="1" customFormat="1" ht="15.75" customHeight="1" thickTop="1">
      <c r="A136" s="20">
        <v>6501</v>
      </c>
      <c r="B136" s="147"/>
      <c r="C136" s="62"/>
      <c r="D136" s="49">
        <f t="shared" ref="D136:D143" si="125">C136/C$12</f>
        <v>0</v>
      </c>
      <c r="E136" s="62"/>
      <c r="F136" s="49">
        <f t="shared" ref="F136:F143" si="126">E136/E$12</f>
        <v>0</v>
      </c>
      <c r="G136" s="62"/>
      <c r="H136" s="49">
        <f t="shared" ref="H136:H143" si="127">G136/G$12</f>
        <v>0</v>
      </c>
      <c r="I136" s="62"/>
      <c r="J136" s="49">
        <f t="shared" ref="J136:J143" si="128">I136/I$12</f>
        <v>0</v>
      </c>
      <c r="K136" s="26"/>
      <c r="L136" s="49">
        <f t="shared" ref="L136:L143" si="129">K136/K$12</f>
        <v>0</v>
      </c>
      <c r="M136" s="26"/>
      <c r="N136" s="49">
        <f t="shared" ref="N136:N143" si="130">M136/M$12</f>
        <v>0</v>
      </c>
      <c r="O136" s="26"/>
      <c r="P136" s="49">
        <f t="shared" ref="P136:P143" si="131">O136/O$12</f>
        <v>0</v>
      </c>
      <c r="Q136" s="45"/>
      <c r="R136" s="49">
        <f t="shared" ref="R136:R143" si="132">Q136/Q$12</f>
        <v>0</v>
      </c>
      <c r="S136" s="45"/>
      <c r="T136" s="49">
        <f t="shared" ref="T136:T146" si="133">S136/S$12</f>
        <v>0</v>
      </c>
      <c r="U136" s="45"/>
      <c r="V136" s="49">
        <f t="shared" ref="V136:V143" si="134">U136/U$12</f>
        <v>0</v>
      </c>
      <c r="W136" s="45"/>
      <c r="X136" s="49">
        <f t="shared" ref="X136:X143" si="135">W136/W$12</f>
        <v>0</v>
      </c>
      <c r="Y136" s="45"/>
      <c r="Z136" s="49">
        <f t="shared" ref="Z136:Z146" si="136">Y136/Y$12</f>
        <v>0</v>
      </c>
      <c r="AA136" s="105">
        <f t="shared" ref="AA136:AA143" si="137">C136+E136+G136+I136+K136+M136+O136+Q136+S136+U136+W136+Y136</f>
        <v>0</v>
      </c>
      <c r="AB136" s="108">
        <f t="shared" ref="AB136:AB146" si="138">AA136/AA$12</f>
        <v>0</v>
      </c>
      <c r="AC136" s="124">
        <f t="shared" ref="AC136:AC143" si="139">AA136/12</f>
        <v>0</v>
      </c>
      <c r="AD136" s="92">
        <f t="shared" ref="AD136:AD146" si="140">AC136/AC$12</f>
        <v>0</v>
      </c>
      <c r="AE136" s="214"/>
      <c r="AF136" s="54"/>
      <c r="AH136" s="289"/>
      <c r="AI136" s="21">
        <f t="shared" si="79"/>
        <v>0</v>
      </c>
    </row>
    <row r="137" spans="1:35" s="1" customFormat="1" ht="15" customHeight="1">
      <c r="A137" s="2">
        <v>6502</v>
      </c>
      <c r="B137" s="147" t="s">
        <v>127</v>
      </c>
      <c r="C137" s="178">
        <v>11287.66</v>
      </c>
      <c r="D137" s="49">
        <f t="shared" si="125"/>
        <v>7.8677196308584496E-2</v>
      </c>
      <c r="E137" s="178">
        <v>11287.66</v>
      </c>
      <c r="F137" s="49">
        <f t="shared" si="126"/>
        <v>0.10112759590747011</v>
      </c>
      <c r="G137" s="178">
        <v>11287.66</v>
      </c>
      <c r="H137" s="49">
        <f t="shared" si="127"/>
        <v>6.0964932573393291E-2</v>
      </c>
      <c r="I137" s="178">
        <v>11287.66</v>
      </c>
      <c r="J137" s="49">
        <f t="shared" si="128"/>
        <v>6.9043407091010436E-2</v>
      </c>
      <c r="K137" s="178">
        <v>11287.66</v>
      </c>
      <c r="L137" s="49">
        <f t="shared" si="129"/>
        <v>7.5490122303088214E-2</v>
      </c>
      <c r="M137" s="178">
        <v>11287.66</v>
      </c>
      <c r="N137" s="49">
        <f t="shared" si="130"/>
        <v>5.3237559512597656E-2</v>
      </c>
      <c r="O137" s="178">
        <v>11287.66</v>
      </c>
      <c r="P137" s="49">
        <f t="shared" si="131"/>
        <v>8.4088887704089024E-2</v>
      </c>
      <c r="Q137" s="178">
        <v>11287.66</v>
      </c>
      <c r="R137" s="49">
        <f t="shared" si="132"/>
        <v>6.7718647045609037E-2</v>
      </c>
      <c r="S137" s="178">
        <v>11287.66</v>
      </c>
      <c r="T137" s="49">
        <f t="shared" si="133"/>
        <v>6.7222592993092217E-2</v>
      </c>
      <c r="U137" s="178">
        <v>11287.66</v>
      </c>
      <c r="V137" s="49">
        <f t="shared" si="134"/>
        <v>8.4747906771902637E-2</v>
      </c>
      <c r="W137" s="178">
        <v>11287.66</v>
      </c>
      <c r="X137" s="49">
        <f t="shared" si="135"/>
        <v>8.3295112622883763E-2</v>
      </c>
      <c r="Y137" s="178">
        <v>11287.66</v>
      </c>
      <c r="Z137" s="49">
        <f t="shared" si="136"/>
        <v>5.5138098988632124E-2</v>
      </c>
      <c r="AA137" s="105">
        <f t="shared" si="137"/>
        <v>135451.92000000001</v>
      </c>
      <c r="AB137" s="108">
        <f t="shared" si="138"/>
        <v>7.1009164948188902E-2</v>
      </c>
      <c r="AC137" s="124">
        <f>AA137/12</f>
        <v>11287.660000000002</v>
      </c>
      <c r="AD137" s="92">
        <f t="shared" si="140"/>
        <v>7.1009164948188902E-2</v>
      </c>
      <c r="AE137" s="214" t="s">
        <v>148</v>
      </c>
      <c r="AF137" s="54"/>
      <c r="AG137" s="1" t="s">
        <v>148</v>
      </c>
      <c r="AH137" s="289"/>
      <c r="AI137" s="21">
        <f t="shared" si="79"/>
        <v>57454.189399999996</v>
      </c>
    </row>
    <row r="138" spans="1:35" s="1" customFormat="1" ht="15" customHeight="1">
      <c r="A138" s="2">
        <v>6503</v>
      </c>
      <c r="B138" s="147" t="s">
        <v>128</v>
      </c>
      <c r="C138" s="178">
        <v>27.4</v>
      </c>
      <c r="D138" s="49">
        <f t="shared" si="125"/>
        <v>1.9098335517327904E-4</v>
      </c>
      <c r="E138" s="178">
        <v>27.4</v>
      </c>
      <c r="F138" s="49">
        <f t="shared" si="126"/>
        <v>2.4548011969395615E-4</v>
      </c>
      <c r="G138" s="178">
        <v>27.4</v>
      </c>
      <c r="H138" s="49">
        <f t="shared" si="127"/>
        <v>1.4798808189748594E-4</v>
      </c>
      <c r="I138" s="178">
        <v>27.4</v>
      </c>
      <c r="J138" s="49">
        <f t="shared" si="128"/>
        <v>1.6759801006530013E-4</v>
      </c>
      <c r="K138" s="178">
        <v>27.4</v>
      </c>
      <c r="L138" s="49">
        <f t="shared" si="129"/>
        <v>1.8324695739458993E-4</v>
      </c>
      <c r="M138" s="178">
        <v>27.4</v>
      </c>
      <c r="N138" s="49">
        <f t="shared" si="130"/>
        <v>1.292304277986027E-4</v>
      </c>
      <c r="O138" s="178">
        <v>27.4</v>
      </c>
      <c r="P138" s="49">
        <f t="shared" si="131"/>
        <v>2.0411985505339807E-4</v>
      </c>
      <c r="Q138" s="178">
        <v>27.4</v>
      </c>
      <c r="R138" s="49">
        <f t="shared" si="132"/>
        <v>1.6438224831804709E-4</v>
      </c>
      <c r="S138" s="178">
        <v>27.4</v>
      </c>
      <c r="T138" s="49">
        <f t="shared" si="133"/>
        <v>1.6317811202771229E-4</v>
      </c>
      <c r="U138" s="178">
        <v>27.4</v>
      </c>
      <c r="V138" s="49">
        <f t="shared" si="134"/>
        <v>2.0571957744564703E-4</v>
      </c>
      <c r="W138" s="178">
        <v>27.4</v>
      </c>
      <c r="X138" s="49">
        <f t="shared" si="135"/>
        <v>2.0219302192544912E-4</v>
      </c>
      <c r="Y138" s="178">
        <v>27.4</v>
      </c>
      <c r="Z138" s="49">
        <f t="shared" si="136"/>
        <v>1.3384385357891008E-4</v>
      </c>
      <c r="AA138" s="105">
        <f t="shared" si="137"/>
        <v>328.79999999999995</v>
      </c>
      <c r="AB138" s="108">
        <f t="shared" si="138"/>
        <v>1.7236974887446782E-4</v>
      </c>
      <c r="AC138" s="124">
        <f t="shared" si="139"/>
        <v>27.399999999999995</v>
      </c>
      <c r="AD138" s="92">
        <f t="shared" si="140"/>
        <v>1.723697488744678E-4</v>
      </c>
      <c r="AE138" s="214" t="s">
        <v>148</v>
      </c>
      <c r="AF138" s="54"/>
      <c r="AG138" s="1" t="s">
        <v>148</v>
      </c>
      <c r="AH138" s="289"/>
      <c r="AI138" s="21">
        <f t="shared" si="79"/>
        <v>139.46599999999998</v>
      </c>
    </row>
    <row r="139" spans="1:35" s="1" customFormat="1" ht="15" customHeight="1">
      <c r="A139" s="2">
        <v>6504</v>
      </c>
      <c r="B139" s="147" t="s">
        <v>129</v>
      </c>
      <c r="C139" s="178">
        <v>153.44999999999999</v>
      </c>
      <c r="D139" s="49">
        <f t="shared" si="125"/>
        <v>1.0695764909248054E-3</v>
      </c>
      <c r="E139" s="178">
        <v>153.44999999999999</v>
      </c>
      <c r="F139" s="49">
        <f t="shared" si="126"/>
        <v>1.3747782615707142E-3</v>
      </c>
      <c r="G139" s="178">
        <v>153.44999999999999</v>
      </c>
      <c r="H139" s="49">
        <f t="shared" si="127"/>
        <v>8.2878726887478896E-4</v>
      </c>
      <c r="I139" s="178">
        <v>153.44999999999999</v>
      </c>
      <c r="J139" s="49">
        <f t="shared" si="128"/>
        <v>9.386100235226389E-4</v>
      </c>
      <c r="K139" s="178">
        <v>153.44999999999999</v>
      </c>
      <c r="L139" s="49">
        <f t="shared" si="129"/>
        <v>1.0262498398613074E-3</v>
      </c>
      <c r="M139" s="178">
        <v>153.44999999999999</v>
      </c>
      <c r="N139" s="49">
        <f t="shared" si="130"/>
        <v>7.2373756006188263E-4</v>
      </c>
      <c r="O139" s="178">
        <v>153.44999999999999</v>
      </c>
      <c r="P139" s="49">
        <f t="shared" si="131"/>
        <v>1.143145684596494E-3</v>
      </c>
      <c r="Q139" s="178">
        <v>153.44999999999999</v>
      </c>
      <c r="R139" s="49">
        <f t="shared" si="132"/>
        <v>9.2060058410234769E-4</v>
      </c>
      <c r="S139" s="178">
        <v>153.44999999999999</v>
      </c>
      <c r="T139" s="49">
        <f t="shared" si="133"/>
        <v>9.1385698141067332E-4</v>
      </c>
      <c r="U139" s="178">
        <v>153.44999999999999</v>
      </c>
      <c r="V139" s="49">
        <f t="shared" si="134"/>
        <v>1.1521047138333773E-3</v>
      </c>
      <c r="W139" s="178">
        <v>153.44999999999999</v>
      </c>
      <c r="X139" s="49">
        <f t="shared" si="135"/>
        <v>1.1323547158562104E-3</v>
      </c>
      <c r="Y139" s="178">
        <v>153.44999999999999</v>
      </c>
      <c r="Z139" s="49">
        <f t="shared" si="136"/>
        <v>7.4957442816364053E-4</v>
      </c>
      <c r="AA139" s="105">
        <f t="shared" si="137"/>
        <v>1841.4000000000003</v>
      </c>
      <c r="AB139" s="108">
        <f t="shared" si="138"/>
        <v>9.6533350236449253E-4</v>
      </c>
      <c r="AC139" s="89">
        <f t="shared" si="139"/>
        <v>153.45000000000002</v>
      </c>
      <c r="AD139" s="92">
        <f t="shared" si="140"/>
        <v>9.6533350236449242E-4</v>
      </c>
      <c r="AE139" s="214" t="s">
        <v>148</v>
      </c>
      <c r="AF139" s="54"/>
      <c r="AG139" s="1" t="s">
        <v>148</v>
      </c>
      <c r="AH139" s="289"/>
      <c r="AI139" s="21">
        <f t="shared" si="79"/>
        <v>781.06049999999993</v>
      </c>
    </row>
    <row r="140" spans="1:35" s="1" customFormat="1" ht="15" customHeight="1">
      <c r="A140" s="2">
        <v>6505</v>
      </c>
      <c r="B140" s="2" t="s">
        <v>130</v>
      </c>
      <c r="C140" s="178"/>
      <c r="D140" s="49">
        <f t="shared" si="125"/>
        <v>0</v>
      </c>
      <c r="E140" s="63"/>
      <c r="F140" s="49">
        <f t="shared" si="126"/>
        <v>0</v>
      </c>
      <c r="G140" s="63"/>
      <c r="H140" s="49">
        <f t="shared" si="127"/>
        <v>0</v>
      </c>
      <c r="I140" s="63"/>
      <c r="J140" s="49">
        <f t="shared" si="128"/>
        <v>0</v>
      </c>
      <c r="K140" s="27"/>
      <c r="L140" s="49">
        <f t="shared" si="129"/>
        <v>0</v>
      </c>
      <c r="M140" s="27"/>
      <c r="N140" s="49">
        <f t="shared" si="130"/>
        <v>0</v>
      </c>
      <c r="O140" s="27"/>
      <c r="P140" s="49">
        <f t="shared" si="131"/>
        <v>0</v>
      </c>
      <c r="Q140" s="145"/>
      <c r="R140" s="49">
        <f t="shared" si="132"/>
        <v>0</v>
      </c>
      <c r="S140" s="47"/>
      <c r="T140" s="49">
        <f t="shared" si="133"/>
        <v>0</v>
      </c>
      <c r="U140" s="47"/>
      <c r="V140" s="49">
        <f t="shared" si="134"/>
        <v>0</v>
      </c>
      <c r="W140" s="47"/>
      <c r="X140" s="49">
        <f t="shared" si="135"/>
        <v>0</v>
      </c>
      <c r="Y140" s="145"/>
      <c r="Z140" s="49">
        <f t="shared" si="136"/>
        <v>0</v>
      </c>
      <c r="AA140" s="105">
        <f t="shared" si="137"/>
        <v>0</v>
      </c>
      <c r="AB140" s="108">
        <f t="shared" si="138"/>
        <v>0</v>
      </c>
      <c r="AC140" s="89">
        <f t="shared" si="139"/>
        <v>0</v>
      </c>
      <c r="AD140" s="92">
        <f t="shared" si="140"/>
        <v>0</v>
      </c>
      <c r="AE140" s="214"/>
      <c r="AF140" s="54"/>
      <c r="AH140" s="289"/>
      <c r="AI140" s="21">
        <f t="shared" si="79"/>
        <v>0</v>
      </c>
    </row>
    <row r="141" spans="1:35" s="1" customFormat="1">
      <c r="A141" s="2">
        <v>6506</v>
      </c>
      <c r="B141" s="2" t="s">
        <v>202</v>
      </c>
      <c r="C141" s="27">
        <v>0</v>
      </c>
      <c r="D141" s="278">
        <f>C141/C12</f>
        <v>0</v>
      </c>
      <c r="E141" s="27">
        <v>0</v>
      </c>
      <c r="F141" s="278">
        <f>E141/E12</f>
        <v>0</v>
      </c>
      <c r="G141" s="27">
        <v>0</v>
      </c>
      <c r="H141" s="278">
        <f>G141/G12</f>
        <v>0</v>
      </c>
      <c r="I141" s="27">
        <v>0</v>
      </c>
      <c r="J141" s="278">
        <f>I141/I12</f>
        <v>0</v>
      </c>
      <c r="K141" s="27">
        <v>0</v>
      </c>
      <c r="L141" s="278">
        <f>K141/K12</f>
        <v>0</v>
      </c>
      <c r="M141" s="27">
        <v>0</v>
      </c>
      <c r="N141" s="278">
        <f>M141/M12</f>
        <v>0</v>
      </c>
      <c r="O141" s="27">
        <v>0</v>
      </c>
      <c r="P141" s="278">
        <f>O141/O12</f>
        <v>0</v>
      </c>
      <c r="Q141" s="27">
        <v>0</v>
      </c>
      <c r="R141" s="278">
        <f>Q141/Q12</f>
        <v>0</v>
      </c>
      <c r="S141" s="27">
        <v>0</v>
      </c>
      <c r="T141" s="278">
        <f>S141/S12</f>
        <v>0</v>
      </c>
      <c r="U141" s="27">
        <v>0</v>
      </c>
      <c r="V141" s="278">
        <f>U141/U12</f>
        <v>0</v>
      </c>
      <c r="W141" s="27">
        <v>0</v>
      </c>
      <c r="X141" s="278">
        <f>W141/W12</f>
        <v>0</v>
      </c>
      <c r="Y141" s="27">
        <v>0</v>
      </c>
      <c r="Z141" s="278">
        <f>Y141/Y12</f>
        <v>0</v>
      </c>
      <c r="AA141" s="105">
        <f t="shared" si="137"/>
        <v>0</v>
      </c>
      <c r="AB141" s="108">
        <f t="shared" si="138"/>
        <v>0</v>
      </c>
      <c r="AC141" s="89">
        <f t="shared" si="139"/>
        <v>0</v>
      </c>
      <c r="AD141" s="92">
        <f t="shared" si="140"/>
        <v>0</v>
      </c>
      <c r="AF141" s="64"/>
      <c r="AH141" s="289"/>
      <c r="AI141" s="21">
        <f t="shared" si="79"/>
        <v>0</v>
      </c>
    </row>
    <row r="142" spans="1:35" s="1" customFormat="1" ht="15" customHeight="1">
      <c r="A142" s="128">
        <v>6604</v>
      </c>
      <c r="B142" s="2" t="s">
        <v>136</v>
      </c>
      <c r="C142" s="46"/>
      <c r="D142" s="49">
        <f t="shared" si="125"/>
        <v>0</v>
      </c>
      <c r="E142" s="46"/>
      <c r="F142" s="49">
        <f t="shared" si="126"/>
        <v>0</v>
      </c>
      <c r="G142" s="46"/>
      <c r="H142" s="49">
        <f t="shared" si="127"/>
        <v>0</v>
      </c>
      <c r="I142" s="46"/>
      <c r="J142" s="49">
        <f t="shared" si="128"/>
        <v>0</v>
      </c>
      <c r="K142" s="46"/>
      <c r="L142" s="49">
        <f t="shared" si="129"/>
        <v>0</v>
      </c>
      <c r="M142" s="46"/>
      <c r="N142" s="49">
        <f t="shared" si="130"/>
        <v>0</v>
      </c>
      <c r="O142" s="46"/>
      <c r="P142" s="49">
        <f t="shared" si="131"/>
        <v>0</v>
      </c>
      <c r="Q142" s="46"/>
      <c r="R142" s="49">
        <f t="shared" si="132"/>
        <v>0</v>
      </c>
      <c r="S142" s="46"/>
      <c r="T142" s="49">
        <f t="shared" si="133"/>
        <v>0</v>
      </c>
      <c r="U142" s="46"/>
      <c r="V142" s="49">
        <f t="shared" si="134"/>
        <v>0</v>
      </c>
      <c r="W142" s="46"/>
      <c r="X142" s="49">
        <f t="shared" si="135"/>
        <v>0</v>
      </c>
      <c r="Y142" s="46"/>
      <c r="Z142" s="49">
        <f t="shared" si="136"/>
        <v>0</v>
      </c>
      <c r="AA142" s="105">
        <f t="shared" si="137"/>
        <v>0</v>
      </c>
      <c r="AB142" s="108">
        <f t="shared" si="138"/>
        <v>0</v>
      </c>
      <c r="AC142" s="89">
        <f t="shared" si="139"/>
        <v>0</v>
      </c>
      <c r="AD142" s="92">
        <f t="shared" si="140"/>
        <v>0</v>
      </c>
      <c r="AE142" s="214"/>
      <c r="AF142" s="54"/>
      <c r="AH142" s="289"/>
      <c r="AI142" s="21">
        <f t="shared" si="79"/>
        <v>0</v>
      </c>
    </row>
    <row r="143" spans="1:35" s="1" customFormat="1" ht="15" customHeight="1">
      <c r="A143" s="2"/>
      <c r="B143" s="2" t="s">
        <v>217</v>
      </c>
      <c r="C143" s="46"/>
      <c r="D143" s="49">
        <f t="shared" si="125"/>
        <v>0</v>
      </c>
      <c r="E143" s="46"/>
      <c r="F143" s="49">
        <f t="shared" si="126"/>
        <v>0</v>
      </c>
      <c r="G143" s="46"/>
      <c r="H143" s="49">
        <f t="shared" si="127"/>
        <v>0</v>
      </c>
      <c r="I143" s="46">
        <v>0</v>
      </c>
      <c r="J143" s="49">
        <f t="shared" si="128"/>
        <v>0</v>
      </c>
      <c r="K143" s="21"/>
      <c r="L143" s="49">
        <f t="shared" si="129"/>
        <v>0</v>
      </c>
      <c r="M143" s="21"/>
      <c r="N143" s="49">
        <f t="shared" si="130"/>
        <v>0</v>
      </c>
      <c r="O143" s="21"/>
      <c r="P143" s="49">
        <f t="shared" si="131"/>
        <v>0</v>
      </c>
      <c r="Q143" s="37"/>
      <c r="R143" s="49">
        <f t="shared" si="132"/>
        <v>0</v>
      </c>
      <c r="S143" s="37"/>
      <c r="T143" s="49">
        <f t="shared" si="133"/>
        <v>0</v>
      </c>
      <c r="U143" s="37"/>
      <c r="V143" s="49">
        <f t="shared" si="134"/>
        <v>0</v>
      </c>
      <c r="W143" s="37"/>
      <c r="X143" s="49">
        <f t="shared" si="135"/>
        <v>0</v>
      </c>
      <c r="Y143" s="131"/>
      <c r="Z143" s="132">
        <f t="shared" si="136"/>
        <v>0</v>
      </c>
      <c r="AA143" s="105">
        <f t="shared" si="137"/>
        <v>0</v>
      </c>
      <c r="AB143" s="108">
        <f t="shared" si="138"/>
        <v>0</v>
      </c>
      <c r="AC143" s="89">
        <f t="shared" si="139"/>
        <v>0</v>
      </c>
      <c r="AD143" s="92">
        <f t="shared" si="140"/>
        <v>0</v>
      </c>
      <c r="AE143" s="214"/>
      <c r="AF143" s="54"/>
      <c r="AH143" s="289"/>
      <c r="AI143" s="21">
        <f t="shared" si="79"/>
        <v>0</v>
      </c>
    </row>
    <row r="144" spans="1:35" s="1" customFormat="1" ht="15" customHeight="1">
      <c r="A144" s="48">
        <v>6798</v>
      </c>
      <c r="B144" s="48" t="s">
        <v>188</v>
      </c>
      <c r="C144" s="59">
        <f>SUM(C136:C143)</f>
        <v>11468.51</v>
      </c>
      <c r="D144" s="69">
        <f>C144/C12</f>
        <v>7.9937756154682585E-2</v>
      </c>
      <c r="E144" s="59">
        <f>SUM(E136:E143)</f>
        <v>11468.51</v>
      </c>
      <c r="F144" s="69">
        <f>E144/E12</f>
        <v>0.1027478542887348</v>
      </c>
      <c r="G144" s="59">
        <f>SUM(G136:G143)</f>
        <v>11468.51</v>
      </c>
      <c r="H144" s="69">
        <f>G144/G12</f>
        <v>6.1941707924165569E-2</v>
      </c>
      <c r="I144" s="59">
        <f>SUM(I136:I143)</f>
        <v>11468.51</v>
      </c>
      <c r="J144" s="69">
        <f>I144/I12</f>
        <v>7.0149615124598372E-2</v>
      </c>
      <c r="K144" s="59">
        <f>SUM(K136:K143)</f>
        <v>11468.51</v>
      </c>
      <c r="L144" s="69">
        <f>K144/K12</f>
        <v>7.6699619100344119E-2</v>
      </c>
      <c r="M144" s="59">
        <f>SUM(M136:M143)</f>
        <v>11468.51</v>
      </c>
      <c r="N144" s="69">
        <f>M144/M12</f>
        <v>5.4090527500458147E-2</v>
      </c>
      <c r="O144" s="59">
        <f>SUM(O136:O143)</f>
        <v>11468.51</v>
      </c>
      <c r="P144" s="69">
        <f>O144/O12</f>
        <v>8.5436153243738919E-2</v>
      </c>
      <c r="Q144" s="59">
        <f>SUM(Q136:Q143)</f>
        <v>11468.51</v>
      </c>
      <c r="R144" s="69">
        <f>Q144/Q12</f>
        <v>6.8803629878029432E-2</v>
      </c>
      <c r="S144" s="59">
        <f>SUM(S136:S143)</f>
        <v>11468.51</v>
      </c>
      <c r="T144" s="69">
        <f t="shared" si="133"/>
        <v>6.8299628086530603E-2</v>
      </c>
      <c r="U144" s="59">
        <f>SUM(U136:U143)</f>
        <v>11468.51</v>
      </c>
      <c r="V144" s="69">
        <f>U144/U12</f>
        <v>8.6105731063181673E-2</v>
      </c>
      <c r="W144" s="59">
        <f>SUM(W136:W143)</f>
        <v>11468.51</v>
      </c>
      <c r="X144" s="69">
        <f>W144/W12</f>
        <v>8.4629660360665424E-2</v>
      </c>
      <c r="Y144" s="59">
        <f>SUM(Y136:Y143)</f>
        <v>11468.51</v>
      </c>
      <c r="Z144" s="69">
        <f t="shared" si="136"/>
        <v>5.6021517270374674E-2</v>
      </c>
      <c r="AA144" s="114">
        <f>SUM(AA136:AA143)</f>
        <v>137622.12</v>
      </c>
      <c r="AB144" s="115">
        <f t="shared" si="138"/>
        <v>7.2146868199427852E-2</v>
      </c>
      <c r="AC144" s="98">
        <f>SUM(AC136:AC143)</f>
        <v>11468.510000000002</v>
      </c>
      <c r="AD144" s="99">
        <f t="shared" si="140"/>
        <v>7.2146868199427866E-2</v>
      </c>
      <c r="AE144" s="215"/>
      <c r="AF144" s="54"/>
      <c r="AH144" s="289"/>
      <c r="AI144" s="21">
        <f t="shared" si="79"/>
        <v>58374.715900000003</v>
      </c>
    </row>
    <row r="145" spans="1:36" s="1" customFormat="1" ht="15" customHeight="1">
      <c r="A145" s="48">
        <v>6799</v>
      </c>
      <c r="B145" s="48" t="s">
        <v>126</v>
      </c>
      <c r="C145" s="59">
        <f>C41+C76+C93+C115+C129+C144+C133</f>
        <v>72530.678273252299</v>
      </c>
      <c r="D145" s="69">
        <f>C145/C12</f>
        <v>0.50555300327078023</v>
      </c>
      <c r="E145" s="59">
        <f>E41+E76+E93+E115+E129+E144+E133</f>
        <v>74103.549955123643</v>
      </c>
      <c r="F145" s="69">
        <f>E145/E12</f>
        <v>0.66390322309236538</v>
      </c>
      <c r="G145" s="59">
        <f>G41+G76+G93+G115+G129+G144+G133</f>
        <v>74915.849613379614</v>
      </c>
      <c r="H145" s="69">
        <f>G145/G12</f>
        <v>0.40462236817534902</v>
      </c>
      <c r="I145" s="59">
        <f>I41+I76+I93+I115+I129+I144+I133</f>
        <v>77988.741381413289</v>
      </c>
      <c r="J145" s="69">
        <f>I145/I12</f>
        <v>0.47703495850445965</v>
      </c>
      <c r="K145" s="23">
        <f>K41+K76+K93+K115+K129+K144+K133</f>
        <v>75953.300638070839</v>
      </c>
      <c r="L145" s="69">
        <f>K145/K12</f>
        <v>0.50796391408770247</v>
      </c>
      <c r="M145" s="23">
        <f>M41+M76+M93+M115+M129+M144+M133</f>
        <v>80769.977419338669</v>
      </c>
      <c r="N145" s="69">
        <f>M145/M12</f>
        <v>0.38094666916732178</v>
      </c>
      <c r="O145" s="23">
        <f>O41+O76+O93+O115+O129+O144+O133</f>
        <v>84712.254415865202</v>
      </c>
      <c r="P145" s="69">
        <f>O145/O12</f>
        <v>0.63107493038733531</v>
      </c>
      <c r="Q145" s="43">
        <f>Q41+Q76+Q93+Q115+Q129+Q144+Q133</f>
        <v>91767.605118274136</v>
      </c>
      <c r="R145" s="69">
        <f>Q145/Q12</f>
        <v>0.55054617708411058</v>
      </c>
      <c r="S145" s="43">
        <f>S41+S76+S93+S115+S129+S144+S133</f>
        <v>91173.635300306472</v>
      </c>
      <c r="T145" s="69">
        <f t="shared" si="133"/>
        <v>0.5429759735404085</v>
      </c>
      <c r="U145" s="43">
        <f>U41+U76+U93+U115+U129+U144+U133</f>
        <v>87182.093400361002</v>
      </c>
      <c r="V145" s="69">
        <f>U145/U12</f>
        <v>0.65456435821712411</v>
      </c>
      <c r="W145" s="43">
        <f>W41+W76+W93+W115+W129+W144+W133</f>
        <v>87375.733036394318</v>
      </c>
      <c r="X145" s="69">
        <f>W145/W12</f>
        <v>0.64477239071459369</v>
      </c>
      <c r="Y145" s="43">
        <f>Y41+Y76+Y93+Y115+Y129+Y144+Y133</f>
        <v>87602.618584482305</v>
      </c>
      <c r="Z145" s="69">
        <f t="shared" si="136"/>
        <v>0.42792233777191813</v>
      </c>
      <c r="AA145" s="43">
        <f>AA41+AA76+AA93+AA115+AA129+AA144+AA133</f>
        <v>986076.0371362617</v>
      </c>
      <c r="AB145" s="115">
        <f t="shared" si="138"/>
        <v>0.51693941268950083</v>
      </c>
      <c r="AC145" s="43">
        <f>AC41+AC76+AC93+AC115+AC129+AC144+AC133</f>
        <v>82173.003094688494</v>
      </c>
      <c r="AD145" s="99">
        <f t="shared" si="140"/>
        <v>0.51693941268950083</v>
      </c>
      <c r="AE145" s="215"/>
      <c r="AF145" s="54"/>
      <c r="AH145" s="289"/>
      <c r="AI145" s="21">
        <f t="shared" si="79"/>
        <v>467097.11005201534</v>
      </c>
      <c r="AJ145" s="64">
        <f>O145*5.09</f>
        <v>431185.37497675384</v>
      </c>
    </row>
    <row r="146" spans="1:36" s="1" customFormat="1" ht="15.75" customHeight="1" thickBot="1">
      <c r="A146" s="11">
        <v>6999</v>
      </c>
      <c r="B146" s="11" t="s">
        <v>135</v>
      </c>
      <c r="C146" s="60">
        <f>C135-C144</f>
        <v>-1673.1630732523026</v>
      </c>
      <c r="D146" s="70">
        <f>C146/C12</f>
        <v>-1.1662273630721155E-2</v>
      </c>
      <c r="E146" s="60">
        <f>E135-E144</f>
        <v>-17940.194755123652</v>
      </c>
      <c r="F146" s="70">
        <f>E146/E12</f>
        <v>-0.16072850933651966</v>
      </c>
      <c r="G146" s="60">
        <f>G135-G144</f>
        <v>12929.631751277177</v>
      </c>
      <c r="H146" s="70">
        <f>G146/G12</f>
        <v>6.9833262865413914E-2</v>
      </c>
      <c r="I146" s="60">
        <f>I135-I144</f>
        <v>-2850.7089461238229</v>
      </c>
      <c r="J146" s="70">
        <f>I146/I12</f>
        <v>-1.7436976154952613E-2</v>
      </c>
      <c r="K146" s="24">
        <f>K135-K144</f>
        <v>3248.9480742258584</v>
      </c>
      <c r="L146" s="70">
        <f>K146/K12</f>
        <v>2.1728461654558426E-2</v>
      </c>
      <c r="M146" s="24">
        <f>M135-M144</f>
        <v>8132.282224165554</v>
      </c>
      <c r="N146" s="70">
        <f>M146/M12</f>
        <v>3.8355412803207548E-2</v>
      </c>
      <c r="O146" s="24">
        <f>O135-O144</f>
        <v>-22183.222887590593</v>
      </c>
      <c r="P146" s="70">
        <f>O146/O12</f>
        <v>-0.16525679709606622</v>
      </c>
      <c r="Q146" s="44">
        <f>Q135-Q144</f>
        <v>-12152.302830376912</v>
      </c>
      <c r="R146" s="70">
        <f>Q146/Q12</f>
        <v>-7.2905943850332999E-2</v>
      </c>
      <c r="S146" s="44">
        <f>S135-S144</f>
        <v>-15333.954807077507</v>
      </c>
      <c r="T146" s="70">
        <f t="shared" si="133"/>
        <v>-9.1319919537852956E-2</v>
      </c>
      <c r="U146" s="44">
        <f>U135-U144</f>
        <v>-17590.170600003847</v>
      </c>
      <c r="V146" s="70">
        <f>U146/U12</f>
        <v>-0.13206724317626406</v>
      </c>
      <c r="W146" s="44">
        <f>W135-W144</f>
        <v>-13745.04899826727</v>
      </c>
      <c r="X146" s="70">
        <f>W146/W12</f>
        <v>-0.10142894136762871</v>
      </c>
      <c r="Y146" s="44">
        <f>Y135-Y144</f>
        <v>13085.278934594282</v>
      </c>
      <c r="Z146" s="70">
        <f t="shared" si="136"/>
        <v>6.3919129845293202E-2</v>
      </c>
      <c r="AA146" s="109">
        <f>AA135-AA144</f>
        <v>-66072.625913552794</v>
      </c>
      <c r="AB146" s="110">
        <f t="shared" si="138"/>
        <v>-3.4637840438551559E-2</v>
      </c>
      <c r="AC146" s="93">
        <f>AC135-AC144</f>
        <v>-5506.0521594627344</v>
      </c>
      <c r="AD146" s="94">
        <f t="shared" si="140"/>
        <v>-3.4637840438551566E-2</v>
      </c>
      <c r="AE146" s="218"/>
      <c r="AF146" s="219"/>
      <c r="AG146" s="209"/>
      <c r="AH146" s="134"/>
      <c r="AI146" s="21">
        <f t="shared" si="79"/>
        <v>-61855.221406618475</v>
      </c>
    </row>
    <row r="147" spans="1:36" s="1" customFormat="1" ht="15.75" customHeight="1" thickTop="1">
      <c r="C147" s="63"/>
      <c r="D147" s="18"/>
      <c r="E147" s="63"/>
      <c r="F147" s="77"/>
      <c r="G147" s="63"/>
      <c r="H147" s="77"/>
      <c r="I147" s="63"/>
      <c r="J147" s="77"/>
      <c r="K147" s="27"/>
      <c r="L147" s="77"/>
      <c r="M147" s="27"/>
      <c r="N147" s="77"/>
      <c r="O147" s="27"/>
      <c r="P147" s="77"/>
      <c r="Q147" s="47"/>
      <c r="R147" s="77"/>
      <c r="S147" s="47"/>
      <c r="T147" s="77"/>
      <c r="U147" s="47"/>
      <c r="V147" s="77"/>
      <c r="W147" s="47"/>
      <c r="X147" s="77"/>
      <c r="Y147" s="47"/>
      <c r="Z147" s="77"/>
      <c r="AA147" s="106"/>
      <c r="AB147" s="107"/>
      <c r="AC147" s="90"/>
      <c r="AD147" s="91"/>
      <c r="AE147" s="213"/>
      <c r="AF147" s="54"/>
      <c r="AH147" s="289"/>
      <c r="AI147" s="21">
        <f t="shared" si="79"/>
        <v>0</v>
      </c>
    </row>
    <row r="148" spans="1:36" s="1" customFormat="1" ht="15.75" customHeight="1" thickBot="1">
      <c r="A148" s="140"/>
      <c r="B148" s="11" t="s">
        <v>192</v>
      </c>
      <c r="C148" s="157"/>
      <c r="D148" s="143">
        <f>C148/C12</f>
        <v>0</v>
      </c>
      <c r="E148" s="157"/>
      <c r="F148" s="143">
        <f>E148/E12</f>
        <v>0</v>
      </c>
      <c r="G148" s="157"/>
      <c r="H148" s="143">
        <f>G148/G12</f>
        <v>0</v>
      </c>
      <c r="I148" s="157"/>
      <c r="J148" s="143">
        <f>I148/I12</f>
        <v>0</v>
      </c>
      <c r="K148" s="157"/>
      <c r="L148" s="143">
        <f>K148/K12</f>
        <v>0</v>
      </c>
      <c r="M148" s="157"/>
      <c r="N148" s="143">
        <f>M148/M12</f>
        <v>0</v>
      </c>
      <c r="O148" s="157"/>
      <c r="P148" s="143">
        <f>O148/O12</f>
        <v>0</v>
      </c>
      <c r="Q148" s="157"/>
      <c r="R148" s="143">
        <f>Q148/Q12</f>
        <v>0</v>
      </c>
      <c r="S148" s="157"/>
      <c r="T148" s="143">
        <f>S148/S12</f>
        <v>0</v>
      </c>
      <c r="U148" s="157"/>
      <c r="V148" s="143">
        <f>U148/U12</f>
        <v>0</v>
      </c>
      <c r="W148" s="157"/>
      <c r="X148" s="143">
        <f>W148/W12</f>
        <v>0</v>
      </c>
      <c r="Y148" s="157"/>
      <c r="Z148" s="143">
        <f>Y148/Y12</f>
        <v>0</v>
      </c>
      <c r="AA148" s="157">
        <f>C148+E148+G148+I148+K148+M148+O148+Q148+S148+U148+W148+Y148</f>
        <v>0</v>
      </c>
      <c r="AB148" s="143">
        <f>AA148/AA12</f>
        <v>0</v>
      </c>
      <c r="AC148" s="157">
        <f>AA148/12</f>
        <v>0</v>
      </c>
      <c r="AD148" s="143">
        <f>AC148/AC12</f>
        <v>0</v>
      </c>
      <c r="AE148" s="226"/>
      <c r="AF148" s="219"/>
      <c r="AG148" s="209"/>
      <c r="AH148" s="134"/>
      <c r="AI148" s="21">
        <f t="shared" si="79"/>
        <v>0</v>
      </c>
    </row>
    <row r="149" spans="1:36" s="1" customFormat="1" ht="15.75" customHeight="1" thickTop="1">
      <c r="B149" s="66"/>
      <c r="C149" s="64"/>
      <c r="D149" s="19"/>
      <c r="E149" s="64"/>
      <c r="F149" s="78"/>
      <c r="G149" s="64"/>
      <c r="H149" s="78"/>
      <c r="I149" s="64"/>
      <c r="J149" s="78"/>
      <c r="K149" s="27"/>
      <c r="L149" s="78"/>
      <c r="M149" s="27"/>
      <c r="N149" s="78"/>
      <c r="O149" s="27"/>
      <c r="P149" s="78"/>
      <c r="R149" s="78"/>
      <c r="T149" s="78"/>
      <c r="V149" s="78"/>
      <c r="X149" s="78"/>
      <c r="Z149" s="78"/>
      <c r="AA149" s="103"/>
      <c r="AB149" s="104"/>
      <c r="AC149" s="87"/>
      <c r="AD149" s="88"/>
      <c r="AE149" s="160"/>
      <c r="AF149" s="54"/>
      <c r="AH149" s="289"/>
      <c r="AI149" s="21">
        <f t="shared" ref="AI149:AI152" si="141">Q149*5.09</f>
        <v>0</v>
      </c>
    </row>
    <row r="150" spans="1:36" s="1" customFormat="1" ht="15.75" customHeight="1" thickBot="1">
      <c r="A150" s="140"/>
      <c r="B150" s="282" t="s">
        <v>206</v>
      </c>
      <c r="C150" s="157"/>
      <c r="D150" s="281"/>
      <c r="E150" s="157"/>
      <c r="F150" s="143"/>
      <c r="G150" s="157"/>
      <c r="H150" s="143"/>
      <c r="I150" s="157"/>
      <c r="J150" s="143"/>
      <c r="K150" s="24"/>
      <c r="L150" s="143"/>
      <c r="M150" s="24"/>
      <c r="N150" s="143"/>
      <c r="O150" s="24"/>
      <c r="P150" s="143"/>
      <c r="Q150" s="140"/>
      <c r="R150" s="143"/>
      <c r="S150" s="140"/>
      <c r="T150" s="143"/>
      <c r="U150" s="140"/>
      <c r="V150" s="143"/>
      <c r="W150" s="140"/>
      <c r="X150" s="143"/>
      <c r="Y150" s="140"/>
      <c r="Z150" s="143"/>
      <c r="AA150" s="157">
        <f>C150+E150+G150+I150+K150+M150+O150+Q150+S150+U150+W150+Y150</f>
        <v>0</v>
      </c>
      <c r="AB150" s="143"/>
      <c r="AC150" s="157">
        <f>AA150/12</f>
        <v>0</v>
      </c>
      <c r="AD150" s="143"/>
      <c r="AE150" s="160"/>
      <c r="AF150" s="54"/>
      <c r="AH150" s="289"/>
      <c r="AI150" s="21">
        <f t="shared" si="141"/>
        <v>0</v>
      </c>
    </row>
    <row r="151" spans="1:36" s="1" customFormat="1" ht="15.75" customHeight="1" thickTop="1">
      <c r="B151" s="66"/>
      <c r="C151" s="64"/>
      <c r="D151" s="19"/>
      <c r="E151" s="64"/>
      <c r="F151" s="78"/>
      <c r="G151" s="64"/>
      <c r="H151" s="78"/>
      <c r="I151" s="64"/>
      <c r="J151" s="78"/>
      <c r="K151" s="27"/>
      <c r="L151" s="78"/>
      <c r="M151" s="27"/>
      <c r="N151" s="78"/>
      <c r="O151" s="27"/>
      <c r="P151" s="78"/>
      <c r="R151" s="78"/>
      <c r="T151" s="78"/>
      <c r="V151" s="78"/>
      <c r="X151" s="78"/>
      <c r="Z151" s="78"/>
      <c r="AA151" s="103"/>
      <c r="AB151" s="104"/>
      <c r="AC151" s="87"/>
      <c r="AD151" s="88"/>
      <c r="AE151" s="160"/>
      <c r="AF151" s="54"/>
      <c r="AH151" s="289"/>
      <c r="AI151" s="21">
        <f t="shared" si="141"/>
        <v>0</v>
      </c>
    </row>
    <row r="152" spans="1:36" s="1" customFormat="1" ht="15.75" customHeight="1" thickBot="1">
      <c r="A152" s="140"/>
      <c r="B152" s="148" t="s">
        <v>189</v>
      </c>
      <c r="C152" s="157">
        <f>C146-C148-C150+0.11</f>
        <v>-1673.0530732523027</v>
      </c>
      <c r="D152" s="143">
        <f>C152/C12</f>
        <v>-1.1661506909222285E-2</v>
      </c>
      <c r="E152" s="157">
        <f>E146-E148-E150</f>
        <v>-17940.194755123652</v>
      </c>
      <c r="F152" s="143">
        <f>E152/E12</f>
        <v>-0.16072850933651966</v>
      </c>
      <c r="G152" s="157">
        <f>G146-G148-G150-0.01</f>
        <v>12929.621751277176</v>
      </c>
      <c r="H152" s="143">
        <f>G152/G12</f>
        <v>6.9833208855165058E-2</v>
      </c>
      <c r="I152" s="157">
        <f>I146-I148-I150</f>
        <v>-2850.7089461238229</v>
      </c>
      <c r="J152" s="143">
        <f>I152/I12</f>
        <v>-1.7436976154952613E-2</v>
      </c>
      <c r="K152" s="157">
        <f>K146-K148-K150-0.08</f>
        <v>3248.8680742258584</v>
      </c>
      <c r="L152" s="143">
        <f>K152/K12</f>
        <v>2.1727926626945598E-2</v>
      </c>
      <c r="M152" s="157">
        <f>M146-M148-M150</f>
        <v>8132.282224165554</v>
      </c>
      <c r="N152" s="143">
        <f>M152/M12</f>
        <v>3.8355412803207548E-2</v>
      </c>
      <c r="O152" s="157">
        <f>O146-O148-O150</f>
        <v>-22183.222887590593</v>
      </c>
      <c r="P152" s="143">
        <f>O152/O12</f>
        <v>-0.16525679709606622</v>
      </c>
      <c r="Q152" s="157">
        <f>Q146-Q148-Q150+1.1</f>
        <v>-12151.202830376911</v>
      </c>
      <c r="R152" s="143">
        <f>Q152/Q12</f>
        <v>-7.2899344562991755E-2</v>
      </c>
      <c r="S152" s="157">
        <f>S146-S148-S150</f>
        <v>-15333.954807077507</v>
      </c>
      <c r="T152" s="143">
        <f>S152/S12</f>
        <v>-9.1319919537852956E-2</v>
      </c>
      <c r="U152" s="157">
        <f>U146-U148-U150</f>
        <v>-17590.170600003847</v>
      </c>
      <c r="V152" s="143">
        <f>U152/U12</f>
        <v>-0.13206724317626406</v>
      </c>
      <c r="W152" s="157">
        <f>W146-W148-W150</f>
        <v>-13745.04899826727</v>
      </c>
      <c r="X152" s="143">
        <f>W152/W12</f>
        <v>-0.10142894136762871</v>
      </c>
      <c r="Y152" s="157">
        <f>Y146-Y148-Y150</f>
        <v>13085.278934594282</v>
      </c>
      <c r="Z152" s="143">
        <f>Y152/Y12</f>
        <v>6.3919129845293202E-2</v>
      </c>
      <c r="AA152" s="156">
        <f>AA146-AA148</f>
        <v>-66072.625913552794</v>
      </c>
      <c r="AB152" s="143">
        <f>AA152/AA12</f>
        <v>-3.4637840438551559E-2</v>
      </c>
      <c r="AC152" s="156">
        <f>AC146-AC148</f>
        <v>-5506.0521594627344</v>
      </c>
      <c r="AD152" s="143">
        <f>AC152/AC12</f>
        <v>-3.4637840438551566E-2</v>
      </c>
      <c r="AE152" s="226"/>
      <c r="AF152" s="219"/>
      <c r="AG152" s="209"/>
      <c r="AH152" s="134"/>
      <c r="AI152" s="21">
        <f t="shared" si="141"/>
        <v>-61849.622406618473</v>
      </c>
    </row>
    <row r="153" spans="1:36" s="1" customFormat="1" ht="15.75" thickTop="1">
      <c r="B153" s="130"/>
      <c r="C153" s="64"/>
      <c r="D153" s="19"/>
      <c r="E153" s="64"/>
      <c r="F153" s="78"/>
      <c r="G153" s="64"/>
      <c r="H153" s="78"/>
      <c r="I153" s="64"/>
      <c r="J153" s="78"/>
      <c r="K153" s="27"/>
      <c r="L153" s="78"/>
      <c r="M153" s="27"/>
      <c r="N153" s="78"/>
      <c r="O153" s="27"/>
      <c r="P153" s="78"/>
      <c r="R153" s="78"/>
      <c r="T153" s="78"/>
      <c r="V153" s="78"/>
      <c r="X153" s="78"/>
      <c r="Z153" s="78"/>
      <c r="AA153" s="103"/>
      <c r="AB153" s="104"/>
      <c r="AC153" s="87"/>
      <c r="AD153" s="160"/>
      <c r="AE153" s="160"/>
      <c r="AF153" s="64"/>
      <c r="AH153" s="289"/>
    </row>
    <row r="154" spans="1:36" s="1" customFormat="1">
      <c r="B154" s="180" t="s">
        <v>138</v>
      </c>
      <c r="C154" s="64">
        <f>C152</f>
        <v>-1673.0530732523027</v>
      </c>
      <c r="D154" s="19"/>
      <c r="E154" s="64">
        <f>E152+C154</f>
        <v>-19613.247828375956</v>
      </c>
      <c r="F154" s="78"/>
      <c r="G154" s="64">
        <f>G152+E154</f>
        <v>-6683.6260770987792</v>
      </c>
      <c r="H154" s="78"/>
      <c r="I154" s="64">
        <f>I152+G154</f>
        <v>-9534.3350232226021</v>
      </c>
      <c r="J154" s="78"/>
      <c r="K154" s="64">
        <f>K152+I154</f>
        <v>-6285.4669489967437</v>
      </c>
      <c r="L154" s="78"/>
      <c r="M154" s="64">
        <f>M152+K154</f>
        <v>1846.8152751688103</v>
      </c>
      <c r="N154" s="78"/>
      <c r="O154" s="64">
        <f>O152+M154</f>
        <v>-20336.407612421783</v>
      </c>
      <c r="P154" s="78"/>
      <c r="Q154" s="64">
        <f>Q152+O154</f>
        <v>-32487.610442798694</v>
      </c>
      <c r="R154" s="78"/>
      <c r="S154" s="64">
        <f>S152+Q154</f>
        <v>-47821.565249876199</v>
      </c>
      <c r="T154" s="78"/>
      <c r="U154" s="64">
        <f>U152+S154</f>
        <v>-65411.735849880046</v>
      </c>
      <c r="V154" s="78"/>
      <c r="W154" s="64">
        <f>W152+U154</f>
        <v>-79156.784848147319</v>
      </c>
      <c r="X154" s="78"/>
      <c r="Y154" s="64">
        <f>Y152+W154</f>
        <v>-66071.505913553032</v>
      </c>
      <c r="AB154" s="104"/>
      <c r="AC154" s="87"/>
      <c r="AD154" s="88"/>
      <c r="AE154" s="160"/>
      <c r="AF154" s="64"/>
      <c r="AH154" s="289"/>
    </row>
    <row r="155" spans="1:36" s="1" customFormat="1">
      <c r="C155" s="64"/>
      <c r="D155" s="19"/>
      <c r="E155" s="64"/>
      <c r="F155" s="78"/>
      <c r="G155" s="64"/>
      <c r="H155" s="78"/>
      <c r="I155" s="64">
        <v>27603.9</v>
      </c>
      <c r="J155" s="78"/>
      <c r="K155" s="27"/>
      <c r="L155" s="78"/>
      <c r="M155" s="27"/>
      <c r="N155" s="78"/>
      <c r="O155" s="27"/>
      <c r="P155" s="78"/>
      <c r="R155" s="78"/>
      <c r="T155" s="78"/>
      <c r="V155" s="78"/>
      <c r="X155" s="78"/>
      <c r="Z155" s="298" t="s">
        <v>103</v>
      </c>
      <c r="AA155" s="295">
        <f>AA152*5.09</f>
        <v>-336309.66589998372</v>
      </c>
      <c r="AB155" s="104"/>
      <c r="AC155" s="87"/>
      <c r="AD155" s="88"/>
      <c r="AE155" s="160"/>
      <c r="AF155" s="64"/>
      <c r="AH155" s="289"/>
    </row>
    <row r="156" spans="1:36">
      <c r="B156" s="297" t="s">
        <v>103</v>
      </c>
      <c r="C156" s="168">
        <f>C154*5.09</f>
        <v>-8515.8401428542202</v>
      </c>
      <c r="E156" s="168">
        <f>E154*5.09</f>
        <v>-99831.431446433606</v>
      </c>
      <c r="G156" s="168">
        <f>G154*5.09</f>
        <v>-34019.656732432784</v>
      </c>
      <c r="I156" s="168">
        <f>I154*5.09</f>
        <v>-48529.765268203046</v>
      </c>
      <c r="K156" s="260">
        <f>K154*5.09</f>
        <v>-31993.026770393426</v>
      </c>
      <c r="M156" s="260">
        <f>M154*5.09</f>
        <v>9400.2897506092449</v>
      </c>
      <c r="O156" s="168">
        <f>O154*5.09</f>
        <v>-103512.31474722688</v>
      </c>
      <c r="Q156" s="168">
        <f>Q154*5.09</f>
        <v>-165361.93715384536</v>
      </c>
      <c r="S156" s="168">
        <f>S154*5.09</f>
        <v>-243411.76712186984</v>
      </c>
      <c r="U156" s="168">
        <f>U154*5.09</f>
        <v>-332945.73547588941</v>
      </c>
      <c r="W156" s="168">
        <f>W154*5.09</f>
        <v>-402908.03487706982</v>
      </c>
      <c r="Y156" s="168">
        <f>Y154*5.09</f>
        <v>-336303.9650999849</v>
      </c>
    </row>
    <row r="158" spans="1:36">
      <c r="E158" s="26"/>
      <c r="G158" s="26"/>
      <c r="I158" s="26"/>
      <c r="AA158" s="260"/>
    </row>
    <row r="159" spans="1:36">
      <c r="C159" s="26"/>
      <c r="D159" s="26"/>
      <c r="E159" s="26"/>
      <c r="G159" s="26"/>
      <c r="I159" s="26"/>
      <c r="Q159" s="26"/>
      <c r="S159" s="168"/>
    </row>
    <row r="160" spans="1:36">
      <c r="C160" s="26"/>
      <c r="D160" s="26"/>
      <c r="E160" s="26"/>
      <c r="G160" s="26"/>
      <c r="I160" s="26"/>
      <c r="Q160" s="26"/>
      <c r="S160" s="168"/>
    </row>
    <row r="161" spans="5:9">
      <c r="E161" s="26"/>
      <c r="G161" s="26"/>
      <c r="I161" s="26"/>
    </row>
    <row r="162" spans="5:9">
      <c r="E162" s="26"/>
      <c r="G162" s="26"/>
      <c r="I162" s="26"/>
    </row>
  </sheetData>
  <customSheetViews>
    <customSheetView guid="{AA4262F8-9AB3-4147-94E2-8DEF81F7E83C}" fitToPage="1" hiddenRows="1">
      <pane xSplit="2" ySplit="5" topLeftCell="C120" activePane="bottomRight" state="frozen"/>
      <selection pane="bottomRight" activeCell="C102" sqref="C102"/>
      <pageMargins left="0.70866141732283505" right="0.70866141732283505" top="0.74803149606299202" bottom="0.74803149606299202" header="0.31496062992126" footer="0.31496062992126"/>
      <printOptions gridLines="1"/>
      <pageSetup paperSize="8" scale="39" fitToHeight="2" orientation="landscape" r:id="rId1"/>
    </customSheetView>
    <customSheetView guid="{A8167CC1-C909-4D11-B8D5-4313083C8125}" hiddenRows="1" hiddenColumns="1">
      <pane xSplit="2" ySplit="5" topLeftCell="E107" activePane="bottomRight" state="frozen"/>
      <selection pane="bottomRight" activeCell="I188" sqref="I188"/>
      <pageMargins left="0.4" right="0.37" top="0.4" bottom="0.41" header="0.31496062992126" footer="0.31496062992126"/>
      <printOptions gridLines="1"/>
      <pageSetup paperSize="8" scale="40" fitToHeight="2" orientation="landscape" r:id="rId2"/>
    </customSheetView>
    <customSheetView guid="{C4C974E7-2FCF-4C3A-A063-03001047949F}">
      <pane ySplit="3" topLeftCell="A28" activePane="bottomLeft" state="frozen"/>
      <selection pane="bottomLeft" activeCell="B2" sqref="B1:O1048576"/>
      <pageMargins left="0.7" right="0.7" top="0.75" bottom="0.75" header="0.3" footer="0.3"/>
      <pageSetup orientation="portrait" r:id="rId3"/>
    </customSheetView>
    <customSheetView guid="{A879B074-133C-4DA1-A94D-0D1575EAAFB0}" topLeftCell="Q106">
      <selection activeCell="AD7" sqref="AD7"/>
      <pageMargins left="0.7" right="0.7" top="0.75" bottom="0.75" header="0.3" footer="0.3"/>
      <pageSetup orientation="portrait" verticalDpi="0" r:id="rId4"/>
    </customSheetView>
    <customSheetView guid="{B2BB7590-1CD2-4457-858D-F8835B99F338}" fitToPage="1" hiddenRows="1">
      <pane xSplit="2" ySplit="5" topLeftCell="G35" activePane="bottomRight" state="frozen"/>
      <selection pane="bottomRight" activeCell="M38" sqref="M38"/>
      <pageMargins left="0.70866141732283505" right="0.70866141732283505" top="0.74803149606299202" bottom="0.74803149606299202" header="0.31496062992126" footer="0.31496062992126"/>
      <printOptions gridLines="1"/>
      <pageSetup paperSize="8" scale="39" fitToHeight="2" orientation="landscape" r:id="rId5"/>
    </customSheetView>
    <customSheetView guid="{209662B1-09B2-4060-A837-250CED7848ED}" fitToPage="1" hiddenRows="1">
      <pane xSplit="2" ySplit="5" topLeftCell="V6" activePane="bottomRight" state="frozen"/>
      <selection pane="bottomRight" activeCell="AD16" sqref="AD16"/>
      <pageMargins left="0.70866141732283505" right="0.70866141732283505" top="0.74803149606299202" bottom="0.74803149606299202" header="0.31496062992126" footer="0.31496062992126"/>
      <printOptions gridLines="1"/>
      <pageSetup paperSize="8" scale="39" fitToHeight="2" orientation="landscape" r:id="rId6"/>
    </customSheetView>
    <customSheetView guid="{02AA01BD-C75B-4B6E-A8E6-EEB6E90D29E4}" fitToPage="1" hiddenRows="1">
      <pane xSplit="2" ySplit="5" topLeftCell="O108" activePane="bottomRight" state="frozen"/>
      <selection pane="bottomRight" activeCell="P126" sqref="P126"/>
      <pageMargins left="0.70866141732283505" right="0.70866141732283505" top="0.74803149606299202" bottom="0.74803149606299202" header="0.31496062992126" footer="0.31496062992126"/>
      <printOptions gridLines="1"/>
      <pageSetup paperSize="8" scale="39" fitToHeight="2" orientation="landscape" r:id="rId7"/>
    </customSheetView>
    <customSheetView guid="{879F34B1-DA85-44D2-99EE-74A633FB2C72}" fitToPage="1" hiddenRows="1">
      <pane xSplit="2" ySplit="5" topLeftCell="C12" activePane="bottomRight" state="frozen"/>
      <selection pane="bottomRight" activeCell="C21" sqref="C21"/>
      <pageMargins left="0.70866141732283505" right="0.70866141732283505" top="0.74803149606299202" bottom="0.74803149606299202" header="0.31496062992126" footer="0.31496062992126"/>
      <printOptions gridLines="1"/>
      <pageSetup paperSize="8" scale="39" fitToHeight="2" orientation="landscape" r:id="rId8"/>
    </customSheetView>
    <customSheetView guid="{F3E5B7E7-D3C6-4CDC-BAA7-D62F15A870E4}" topLeftCell="A109">
      <selection activeCell="H136" sqref="H136"/>
      <pageMargins left="0.7" right="0.7" top="0.75" bottom="0.75" header="0.3" footer="0.3"/>
    </customSheetView>
    <customSheetView guid="{D65E0E17-9A53-4B36-ADDE-FDFBD878E6A1}" topLeftCell="A109">
      <selection activeCell="H136" sqref="H136"/>
      <pageMargins left="0.7" right="0.7" top="0.75" bottom="0.75" header="0.3" footer="0.3"/>
    </customSheetView>
    <customSheetView guid="{BFB0E08A-7D07-48F2-93C4-BE631A8642F6}" fitToPage="1" hiddenRows="1">
      <pane xSplit="2" ySplit="5" topLeftCell="C96" activePane="bottomRight" state="frozen"/>
      <selection pane="bottomRight" activeCell="D101" sqref="D101"/>
      <pageMargins left="0.70866141732283505" right="0.70866141732283505" top="0.74803149606299202" bottom="0.74803149606299202" header="0.31496062992126" footer="0.31496062992126"/>
      <printOptions gridLines="1"/>
      <pageSetup paperSize="8" scale="39" fitToHeight="2" orientation="landscape" r:id="rId9"/>
    </customSheetView>
    <customSheetView guid="{E19D3675-E478-4A54-8E7A-94A199F67811}" fitToPage="1" hiddenRows="1">
      <pane xSplit="2" ySplit="5" topLeftCell="D33" activePane="bottomRight" state="frozen"/>
      <selection pane="bottomRight" activeCell="L46" sqref="L46"/>
      <pageMargins left="0.70866141732283505" right="0.70866141732283505" top="0.74803149606299202" bottom="0.74803149606299202" header="0.31496062992126" footer="0.31496062992126"/>
      <printOptions gridLines="1"/>
      <pageSetup paperSize="8" scale="39" fitToHeight="2" orientation="landscape" r:id="rId10"/>
    </customSheetView>
  </customSheetViews>
  <mergeCells count="15">
    <mergeCell ref="W2:X2"/>
    <mergeCell ref="Y2:Z2"/>
    <mergeCell ref="A1:AD1"/>
    <mergeCell ref="AA2:AB2"/>
    <mergeCell ref="AC2:AD2"/>
    <mergeCell ref="Q2:R2"/>
    <mergeCell ref="S2:T2"/>
    <mergeCell ref="C2:D2"/>
    <mergeCell ref="E2:F2"/>
    <mergeCell ref="G2:H2"/>
    <mergeCell ref="I2:J2"/>
    <mergeCell ref="K2:L2"/>
    <mergeCell ref="M2:N2"/>
    <mergeCell ref="O2:P2"/>
    <mergeCell ref="U2:V2"/>
  </mergeCells>
  <printOptions gridLines="1"/>
  <pageMargins left="0.70866141732283505" right="0.70866141732283505" top="0.74803149606299202" bottom="1.1000000000000001" header="0.31496062992126" footer="0.31496062992126"/>
  <pageSetup paperSize="8" scale="52" fitToHeight="2" orientation="landscape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Q162"/>
  <sheetViews>
    <sheetView zoomScale="85" zoomScaleNormal="85" workbookViewId="0">
      <pane xSplit="2" ySplit="2" topLeftCell="C23" activePane="bottomRight" state="frozen"/>
      <selection activeCell="Y121" sqref="Y121"/>
      <selection pane="topRight" activeCell="Y121" sqref="Y121"/>
      <selection pane="bottomLeft" activeCell="Y121" sqref="Y121"/>
      <selection pane="bottomRight" activeCell="C57" sqref="C57"/>
    </sheetView>
  </sheetViews>
  <sheetFormatPr defaultColWidth="9.140625" defaultRowHeight="15"/>
  <cols>
    <col min="1" max="1" width="6.42578125" style="134" bestFit="1" customWidth="1"/>
    <col min="2" max="2" width="34.85546875" style="134" bestFit="1" customWidth="1"/>
    <col min="3" max="3" width="11.28515625" style="168" customWidth="1"/>
    <col min="4" max="4" width="9" style="133" bestFit="1" customWidth="1"/>
    <col min="5" max="5" width="13.28515625" style="168" bestFit="1" customWidth="1"/>
    <col min="6" max="6" width="9" style="259" bestFit="1" customWidth="1"/>
    <col min="7" max="7" width="11.5703125" style="168" bestFit="1" customWidth="1"/>
    <col min="8" max="8" width="9" style="259" bestFit="1" customWidth="1"/>
    <col min="9" max="9" width="11.5703125" style="168" bestFit="1" customWidth="1"/>
    <col min="10" max="10" width="9" style="259" bestFit="1" customWidth="1"/>
    <col min="11" max="11" width="11.5703125" style="26" bestFit="1" customWidth="1"/>
    <col min="12" max="12" width="9" style="259" bestFit="1" customWidth="1"/>
    <col min="13" max="13" width="11.5703125" style="26" bestFit="1" customWidth="1"/>
    <col min="14" max="14" width="9" style="259" bestFit="1" customWidth="1"/>
    <col min="15" max="15" width="11.5703125" style="26" bestFit="1" customWidth="1"/>
    <col min="16" max="16" width="9" style="259" bestFit="1" customWidth="1"/>
    <col min="17" max="17" width="12.28515625" style="133" bestFit="1" customWidth="1"/>
    <col min="18" max="18" width="9" style="259" customWidth="1"/>
    <col min="19" max="19" width="14" style="133" bestFit="1" customWidth="1"/>
    <col min="20" max="20" width="10.140625" style="259" bestFit="1" customWidth="1"/>
    <col min="21" max="21" width="14" style="133" bestFit="1" customWidth="1"/>
    <col min="22" max="22" width="9" style="259" bestFit="1" customWidth="1"/>
    <col min="23" max="23" width="13.28515625" style="133" bestFit="1" customWidth="1"/>
    <col min="24" max="24" width="9" style="259" bestFit="1" customWidth="1"/>
    <col min="25" max="25" width="11.5703125" style="133" bestFit="1" customWidth="1"/>
    <col min="26" max="26" width="9" style="259" bestFit="1" customWidth="1"/>
    <col min="27" max="27" width="14" style="133" bestFit="1" customWidth="1"/>
    <col min="28" max="28" width="9" style="259" bestFit="1" customWidth="1"/>
    <col min="29" max="29" width="10.42578125" style="133" bestFit="1" customWidth="1"/>
    <col min="30" max="30" width="8.140625" style="259" bestFit="1" customWidth="1"/>
    <col min="31" max="31" width="18.42578125" style="315" hidden="1" customWidth="1"/>
    <col min="32" max="32" width="9.140625" style="315" hidden="1" customWidth="1"/>
    <col min="33" max="33" width="23.140625" style="168" hidden="1" customWidth="1"/>
    <col min="34" max="34" width="9.140625" style="133" hidden="1" customWidth="1"/>
    <col min="35" max="35" width="11.140625" style="271" hidden="1" customWidth="1"/>
    <col min="36" max="36" width="11.5703125" style="274" hidden="1" customWidth="1"/>
    <col min="37" max="37" width="11.5703125" style="1" customWidth="1"/>
    <col min="38" max="38" width="13.28515625" style="133" customWidth="1"/>
    <col min="39" max="39" width="12.7109375" style="133" customWidth="1"/>
    <col min="40" max="40" width="11.140625" style="133" customWidth="1"/>
    <col min="41" max="41" width="11.7109375" style="133" customWidth="1"/>
    <col min="42" max="42" width="19" style="133" customWidth="1"/>
    <col min="43" max="43" width="10.5703125" style="133" bestFit="1" customWidth="1"/>
    <col min="44" max="16384" width="9.140625" style="133"/>
  </cols>
  <sheetData>
    <row r="1" spans="1:42" s="258" customFormat="1">
      <c r="A1" s="600" t="s">
        <v>296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1"/>
      <c r="AE1" s="304"/>
      <c r="AF1" s="304"/>
      <c r="AG1" s="228"/>
      <c r="AH1" s="129"/>
      <c r="AI1" s="270"/>
      <c r="AJ1" s="273"/>
      <c r="AK1" s="1"/>
    </row>
    <row r="2" spans="1:42" s="134" customFormat="1">
      <c r="A2" s="32"/>
      <c r="B2" s="32"/>
      <c r="C2" s="202" t="s">
        <v>64</v>
      </c>
      <c r="D2" s="203"/>
      <c r="E2" s="201" t="s">
        <v>65</v>
      </c>
      <c r="F2" s="201"/>
      <c r="G2" s="202" t="s">
        <v>81</v>
      </c>
      <c r="H2" s="203"/>
      <c r="I2" s="202" t="s">
        <v>82</v>
      </c>
      <c r="J2" s="203"/>
      <c r="K2" s="202" t="s">
        <v>83</v>
      </c>
      <c r="L2" s="203"/>
      <c r="M2" s="202" t="s">
        <v>84</v>
      </c>
      <c r="N2" s="201"/>
      <c r="O2" s="202" t="s">
        <v>85</v>
      </c>
      <c r="P2" s="203"/>
      <c r="Q2" s="202" t="s">
        <v>86</v>
      </c>
      <c r="R2" s="203"/>
      <c r="S2" s="201" t="s">
        <v>87</v>
      </c>
      <c r="T2" s="201"/>
      <c r="U2" s="202" t="s">
        <v>120</v>
      </c>
      <c r="V2" s="203"/>
      <c r="W2" s="202" t="s">
        <v>121</v>
      </c>
      <c r="X2" s="203"/>
      <c r="Y2" s="201" t="s">
        <v>122</v>
      </c>
      <c r="Z2" s="201"/>
      <c r="AA2" s="199" t="s">
        <v>118</v>
      </c>
      <c r="AB2" s="199"/>
      <c r="AC2" s="200" t="s">
        <v>119</v>
      </c>
      <c r="AD2" s="200"/>
      <c r="AE2" s="305"/>
      <c r="AF2" s="305"/>
      <c r="AG2" s="64"/>
      <c r="AH2" s="1"/>
      <c r="AI2" s="271" t="s">
        <v>198</v>
      </c>
      <c r="AJ2" s="274" t="s">
        <v>161</v>
      </c>
      <c r="AK2" s="1"/>
    </row>
    <row r="3" spans="1:42" s="134" customFormat="1" ht="15.75" thickBot="1">
      <c r="A3" s="30"/>
      <c r="B3" s="12" t="s">
        <v>69</v>
      </c>
      <c r="C3" s="173" t="s">
        <v>106</v>
      </c>
      <c r="D3" s="31" t="s">
        <v>80</v>
      </c>
      <c r="E3" s="173" t="s">
        <v>106</v>
      </c>
      <c r="F3" s="74" t="s">
        <v>80</v>
      </c>
      <c r="G3" s="173" t="s">
        <v>106</v>
      </c>
      <c r="H3" s="74" t="s">
        <v>80</v>
      </c>
      <c r="I3" s="173" t="s">
        <v>106</v>
      </c>
      <c r="J3" s="74" t="s">
        <v>80</v>
      </c>
      <c r="K3" s="29" t="s">
        <v>106</v>
      </c>
      <c r="L3" s="74" t="s">
        <v>80</v>
      </c>
      <c r="M3" s="29" t="s">
        <v>106</v>
      </c>
      <c r="N3" s="74" t="s">
        <v>80</v>
      </c>
      <c r="O3" s="29" t="s">
        <v>106</v>
      </c>
      <c r="P3" s="74" t="s">
        <v>80</v>
      </c>
      <c r="Q3" s="12" t="s">
        <v>106</v>
      </c>
      <c r="R3" s="74" t="s">
        <v>80</v>
      </c>
      <c r="S3" s="12" t="s">
        <v>106</v>
      </c>
      <c r="T3" s="74" t="s">
        <v>80</v>
      </c>
      <c r="U3" s="12" t="s">
        <v>106</v>
      </c>
      <c r="V3" s="74" t="s">
        <v>80</v>
      </c>
      <c r="W3" s="12" t="s">
        <v>106</v>
      </c>
      <c r="X3" s="74" t="s">
        <v>80</v>
      </c>
      <c r="Y3" s="12" t="s">
        <v>106</v>
      </c>
      <c r="Z3" s="74" t="s">
        <v>80</v>
      </c>
      <c r="AA3" s="101" t="s">
        <v>106</v>
      </c>
      <c r="AB3" s="102" t="s">
        <v>80</v>
      </c>
      <c r="AC3" s="85" t="s">
        <v>106</v>
      </c>
      <c r="AD3" s="86" t="s">
        <v>80</v>
      </c>
      <c r="AE3" s="305" t="s">
        <v>172</v>
      </c>
      <c r="AF3" s="305"/>
      <c r="AG3" s="64"/>
      <c r="AH3" s="1" t="s">
        <v>161</v>
      </c>
      <c r="AI3" s="271"/>
      <c r="AJ3" s="274"/>
      <c r="AK3" s="1"/>
    </row>
    <row r="4" spans="1:42" s="1" customFormat="1" hidden="1">
      <c r="C4" s="54">
        <v>54562.984742904599</v>
      </c>
      <c r="D4" s="17"/>
      <c r="E4" s="54">
        <v>42136.4238105521</v>
      </c>
      <c r="F4" s="75"/>
      <c r="G4" s="54">
        <v>61576.028847584101</v>
      </c>
      <c r="H4" s="75"/>
      <c r="I4" s="54">
        <v>55813.8402501987</v>
      </c>
      <c r="J4" s="75"/>
      <c r="K4" s="21">
        <v>48874.560853695199</v>
      </c>
      <c r="L4" s="75"/>
      <c r="M4" s="21">
        <v>64362.8117358327</v>
      </c>
      <c r="N4" s="75"/>
      <c r="O4" s="21">
        <v>54995.8115991667</v>
      </c>
      <c r="P4" s="75"/>
      <c r="Q4" s="5">
        <v>53106.114698973201</v>
      </c>
      <c r="R4" s="75"/>
      <c r="S4" s="5">
        <v>67138.685067957602</v>
      </c>
      <c r="T4" s="75"/>
      <c r="U4" s="5">
        <v>46832.849584025302</v>
      </c>
      <c r="V4" s="75"/>
      <c r="W4" s="5">
        <v>53302.736651234598</v>
      </c>
      <c r="X4" s="75"/>
      <c r="Y4" s="5">
        <v>74123.532775016603</v>
      </c>
      <c r="Z4" s="75"/>
      <c r="AA4" s="103"/>
      <c r="AB4" s="104"/>
      <c r="AC4" s="87"/>
      <c r="AD4" s="88"/>
      <c r="AE4" s="306"/>
      <c r="AF4" s="306"/>
      <c r="AG4" s="64"/>
      <c r="AI4" s="271"/>
      <c r="AJ4" s="274"/>
    </row>
    <row r="5" spans="1:42" s="1" customFormat="1">
      <c r="A5" s="6">
        <v>5004</v>
      </c>
      <c r="B5" s="16" t="s">
        <v>71</v>
      </c>
      <c r="C5" s="533">
        <f>33591+C9</f>
        <v>46691.1</v>
      </c>
      <c r="D5" s="356">
        <v>1</v>
      </c>
      <c r="E5" s="534">
        <f>26133.6885741704+E9</f>
        <v>34496.468917904931</v>
      </c>
      <c r="F5" s="356">
        <v>1</v>
      </c>
      <c r="G5" s="535">
        <f>43349.977+G9</f>
        <v>62857.466683623956</v>
      </c>
      <c r="H5" s="356">
        <v>1</v>
      </c>
      <c r="I5" s="536">
        <f>38277.7811925584+I9</f>
        <v>52057.782421879427</v>
      </c>
      <c r="J5" s="356">
        <v>1</v>
      </c>
      <c r="K5" s="537">
        <f>35008.93029+K9</f>
        <v>44111.252165834143</v>
      </c>
      <c r="L5" s="356">
        <v>1</v>
      </c>
      <c r="M5" s="538">
        <f>49642.178447212+M9</f>
        <v>69499.049826096802</v>
      </c>
      <c r="N5" s="356">
        <v>1</v>
      </c>
      <c r="O5" s="539">
        <f>31428.9854649835+O9</f>
        <v>44000.579650976899</v>
      </c>
      <c r="P5" s="356">
        <v>1</v>
      </c>
      <c r="Q5" s="540">
        <f>39026.598207706+Q9</f>
        <v>54246.971508711344</v>
      </c>
      <c r="R5" s="356">
        <v>1</v>
      </c>
      <c r="S5" s="541">
        <f>39314.586238737+S9</f>
        <v>51108.962110358101</v>
      </c>
      <c r="T5" s="356">
        <v>1</v>
      </c>
      <c r="U5" s="542">
        <f>31184.5864999541+U9</f>
        <v>42411.037639937575</v>
      </c>
      <c r="V5" s="356">
        <v>1</v>
      </c>
      <c r="W5" s="543">
        <f>31728.4933797229+W9</f>
        <v>37756.907121870252</v>
      </c>
      <c r="X5" s="356">
        <v>1</v>
      </c>
      <c r="Y5" s="544">
        <f>47931.0762955995+Y9</f>
        <v>64227.642236103333</v>
      </c>
      <c r="Z5" s="356">
        <v>1</v>
      </c>
      <c r="AA5" s="105">
        <f t="shared" ref="AA5:AA11" si="0">C5+E5+G5+I5+K5+M5+O5+Q5+S5+U5+W5+Y5</f>
        <v>603465.22028329677</v>
      </c>
      <c r="AB5" s="126">
        <v>1</v>
      </c>
      <c r="AC5" s="89">
        <f>AA5/12</f>
        <v>50288.7683569414</v>
      </c>
      <c r="AD5" s="126">
        <v>1</v>
      </c>
      <c r="AE5" s="307"/>
      <c r="AF5" s="307"/>
      <c r="AG5" s="64"/>
      <c r="AI5" s="271"/>
      <c r="AJ5" s="274"/>
      <c r="AK5" s="263">
        <f>C5*5.09+E5*5.09+G5*5.09+I5*5.09+K5*5.09+M5*5.09+O5*5.09+Q5*5.09+S5*5.09+U5*5.09+W5*5.09+Y5*5.09</f>
        <v>3071637.9712419803</v>
      </c>
      <c r="AL5" s="64">
        <v>0</v>
      </c>
      <c r="AM5" s="64">
        <f>C5+E5+G5+I5+K5+M5+O5+Q5+S5+U5+W5+Y5</f>
        <v>603465.22028329677</v>
      </c>
      <c r="AN5" s="64">
        <f>AA5-AM5</f>
        <v>0</v>
      </c>
      <c r="AO5" s="64">
        <f>Q5*5.09</f>
        <v>276117.08497934073</v>
      </c>
    </row>
    <row r="6" spans="1:42" s="1" customFormat="1">
      <c r="A6" s="5">
        <v>5005</v>
      </c>
      <c r="B6" s="5" t="s">
        <v>67</v>
      </c>
      <c r="C6" s="55"/>
      <c r="D6" s="49">
        <f t="shared" ref="D6" si="1">C6/C$5</f>
        <v>0</v>
      </c>
      <c r="E6" s="55"/>
      <c r="F6" s="49">
        <f>E6/E$5</f>
        <v>0</v>
      </c>
      <c r="G6" s="55"/>
      <c r="H6" s="49">
        <f>G6/G$5</f>
        <v>0</v>
      </c>
      <c r="I6" s="55"/>
      <c r="J6" s="49">
        <f>I6/I$5</f>
        <v>0</v>
      </c>
      <c r="K6" s="21"/>
      <c r="L6" s="49">
        <f>K6/K$5</f>
        <v>0</v>
      </c>
      <c r="M6" s="21"/>
      <c r="N6" s="49">
        <f>M6/M$5</f>
        <v>0</v>
      </c>
      <c r="O6" s="25"/>
      <c r="P6" s="49">
        <f>O6/O$5</f>
        <v>0</v>
      </c>
      <c r="Q6" s="55"/>
      <c r="R6" s="49">
        <f>Q6/Q$5</f>
        <v>0</v>
      </c>
      <c r="S6" s="37"/>
      <c r="T6" s="49">
        <f>S6/S$5</f>
        <v>0</v>
      </c>
      <c r="U6" s="36"/>
      <c r="V6" s="49">
        <f>U6/U$5</f>
        <v>0</v>
      </c>
      <c r="W6" s="36"/>
      <c r="X6" s="49">
        <f>W6/W$5</f>
        <v>0</v>
      </c>
      <c r="Y6" s="37"/>
      <c r="Z6" s="49">
        <f>Y6/Y$5</f>
        <v>0</v>
      </c>
      <c r="AA6" s="105">
        <f t="shared" si="0"/>
        <v>0</v>
      </c>
      <c r="AB6" s="108">
        <f>AA6/AA$5</f>
        <v>0</v>
      </c>
      <c r="AC6" s="89">
        <f t="shared" ref="AC6:AC10" si="2">AA6/12</f>
        <v>0</v>
      </c>
      <c r="AD6" s="92">
        <f>AC6/AC$5</f>
        <v>0</v>
      </c>
      <c r="AE6" s="308"/>
      <c r="AF6" s="308"/>
      <c r="AG6" s="64"/>
      <c r="AI6" s="271"/>
      <c r="AJ6" s="274"/>
      <c r="AK6" s="263">
        <f>C6*5.09+E6*5.09+G6*5.09+I6*5.09+K6*5.09+M6*5.09+O6*5.09+Q6*5.09+S6*5.09+U6*5.09+W6*5.09+Y6*5.09</f>
        <v>0</v>
      </c>
      <c r="AM6" s="64">
        <f t="shared" ref="AM6:AM69" si="3">C6+E6+G6+I6+K6+M6+O6+Q6+S6+U6+W6+Y6</f>
        <v>0</v>
      </c>
      <c r="AN6" s="64">
        <f t="shared" ref="AN6:AN69" si="4">AA6-AM6</f>
        <v>0</v>
      </c>
      <c r="AO6" s="64">
        <f t="shared" ref="AO6:AO69" si="5">Q6*5.09</f>
        <v>0</v>
      </c>
    </row>
    <row r="7" spans="1:42" s="1" customFormat="1">
      <c r="A7" s="6">
        <v>5051</v>
      </c>
      <c r="B7" s="16" t="s">
        <v>74</v>
      </c>
      <c r="C7" s="55"/>
      <c r="D7" s="49">
        <f>C7/C$5</f>
        <v>0</v>
      </c>
      <c r="E7" s="55"/>
      <c r="F7" s="49">
        <f>E7/E$5</f>
        <v>0</v>
      </c>
      <c r="G7" s="289"/>
      <c r="H7" s="49">
        <f>G7/G$5</f>
        <v>0</v>
      </c>
      <c r="I7" s="55"/>
      <c r="J7" s="49">
        <f>I7/I$5</f>
        <v>0</v>
      </c>
      <c r="K7" s="55"/>
      <c r="L7" s="49">
        <f>K7/K$5</f>
        <v>0</v>
      </c>
      <c r="M7" s="55"/>
      <c r="N7" s="49">
        <f>M7/M$5</f>
        <v>0</v>
      </c>
      <c r="O7" s="55"/>
      <c r="P7" s="49">
        <f>O7/O$5</f>
        <v>0</v>
      </c>
      <c r="Q7" s="55"/>
      <c r="R7" s="49">
        <f>Q7/Q$5</f>
        <v>0</v>
      </c>
      <c r="S7" s="55"/>
      <c r="T7" s="49">
        <f>S7/S$5</f>
        <v>0</v>
      </c>
      <c r="U7" s="36"/>
      <c r="V7" s="49">
        <f>U7/U$5</f>
        <v>0</v>
      </c>
      <c r="W7" s="36"/>
      <c r="X7" s="49">
        <f>W7/W$5</f>
        <v>0</v>
      </c>
      <c r="Y7" s="36"/>
      <c r="Z7" s="49">
        <f>Y7/Y$5</f>
        <v>0</v>
      </c>
      <c r="AA7" s="105">
        <f t="shared" si="0"/>
        <v>0</v>
      </c>
      <c r="AB7" s="108">
        <f t="shared" ref="AB7:AB11" si="6">AA7/AA$5</f>
        <v>0</v>
      </c>
      <c r="AC7" s="89">
        <f t="shared" si="2"/>
        <v>0</v>
      </c>
      <c r="AD7" s="92">
        <f t="shared" ref="AD7:AD11" si="7">AC7/AC$5</f>
        <v>0</v>
      </c>
      <c r="AE7" s="309"/>
      <c r="AF7" s="309"/>
      <c r="AG7" s="64"/>
      <c r="AI7" s="271"/>
      <c r="AJ7" s="274"/>
      <c r="AK7" s="263">
        <f>C7*5.09+E7*5.09+G7*5.09+I7*5.09+K7*5.09+M7*5.09+O7*5.09+Q7*5.09+S7*5.09+U7*5.09+W7*5.09+Y7*5.09</f>
        <v>0</v>
      </c>
      <c r="AM7" s="64">
        <f t="shared" si="3"/>
        <v>0</v>
      </c>
      <c r="AN7" s="64">
        <f t="shared" si="4"/>
        <v>0</v>
      </c>
      <c r="AO7" s="64">
        <f t="shared" si="5"/>
        <v>0</v>
      </c>
    </row>
    <row r="8" spans="1:42" s="1" customFormat="1">
      <c r="A8" s="5">
        <v>5052</v>
      </c>
      <c r="B8" s="5" t="s">
        <v>90</v>
      </c>
      <c r="C8" s="55"/>
      <c r="D8" s="49">
        <f>C8/C$5</f>
        <v>0</v>
      </c>
      <c r="E8" s="55"/>
      <c r="F8" s="49">
        <f t="shared" ref="F8:F11" si="8">E8/E$5</f>
        <v>0</v>
      </c>
      <c r="G8" s="55"/>
      <c r="H8" s="49">
        <f t="shared" ref="H8:H11" si="9">G8/G$5</f>
        <v>0</v>
      </c>
      <c r="I8" s="55"/>
      <c r="J8" s="49">
        <f t="shared" ref="J8:J11" si="10">I8/I$5</f>
        <v>0</v>
      </c>
      <c r="K8" s="55"/>
      <c r="L8" s="49">
        <f t="shared" ref="L8:L11" si="11">K8/K$5</f>
        <v>0</v>
      </c>
      <c r="M8" s="55"/>
      <c r="N8" s="49">
        <f t="shared" ref="N8:N11" si="12">M8/M$5</f>
        <v>0</v>
      </c>
      <c r="O8" s="55"/>
      <c r="P8" s="49">
        <f t="shared" ref="P8:P11" si="13">O8/O$5</f>
        <v>0</v>
      </c>
      <c r="Q8" s="55"/>
      <c r="R8" s="49">
        <f t="shared" ref="R8:R11" si="14">Q8/Q$5</f>
        <v>0</v>
      </c>
      <c r="S8" s="55"/>
      <c r="T8" s="49">
        <f t="shared" ref="T8:T11" si="15">S8/S$5</f>
        <v>0</v>
      </c>
      <c r="U8" s="55"/>
      <c r="V8" s="49">
        <f t="shared" ref="V8:V11" si="16">U8/U$5</f>
        <v>0</v>
      </c>
      <c r="W8" s="55"/>
      <c r="X8" s="49">
        <f t="shared" ref="X8:X11" si="17">W8/W$5</f>
        <v>0</v>
      </c>
      <c r="Y8" s="55"/>
      <c r="Z8" s="49">
        <f t="shared" ref="Z8:Z11" si="18">Y8/Y$5</f>
        <v>0</v>
      </c>
      <c r="AA8" s="105">
        <f t="shared" si="0"/>
        <v>0</v>
      </c>
      <c r="AB8" s="108">
        <f t="shared" si="6"/>
        <v>0</v>
      </c>
      <c r="AC8" s="89">
        <f t="shared" si="2"/>
        <v>0</v>
      </c>
      <c r="AD8" s="92">
        <f t="shared" si="7"/>
        <v>0</v>
      </c>
      <c r="AE8" s="309"/>
      <c r="AF8" s="309"/>
      <c r="AG8" s="64"/>
      <c r="AI8" s="271"/>
      <c r="AJ8" s="275"/>
      <c r="AK8" s="263">
        <f>C8*5.09+E8*5.09+G8*5.09+I8*5.09+K8*5.09+M8*5.09+O8*5.09+Q8*5.09+S8*5.09+U8*5.09+W8*5.09+Y8*5.09</f>
        <v>0</v>
      </c>
      <c r="AM8" s="64">
        <f t="shared" si="3"/>
        <v>0</v>
      </c>
      <c r="AN8" s="64">
        <f t="shared" si="4"/>
        <v>0</v>
      </c>
      <c r="AO8" s="64">
        <f t="shared" si="5"/>
        <v>0</v>
      </c>
    </row>
    <row r="9" spans="1:42" s="1" customFormat="1">
      <c r="A9" s="5">
        <v>5101</v>
      </c>
      <c r="B9" s="5" t="s">
        <v>46</v>
      </c>
      <c r="C9" s="55">
        <f>33590*39%</f>
        <v>13100.1</v>
      </c>
      <c r="D9" s="49">
        <f>C9/C$5</f>
        <v>0.2805695303815931</v>
      </c>
      <c r="E9" s="55">
        <f>26133.6885741704*32%</f>
        <v>8362.7803437345283</v>
      </c>
      <c r="F9" s="49">
        <f t="shared" si="8"/>
        <v>0.2424242424242424</v>
      </c>
      <c r="G9" s="289">
        <f>43349.9770747199*45%</f>
        <v>19507.489683623957</v>
      </c>
      <c r="H9" s="49">
        <f t="shared" si="9"/>
        <v>0.31034482795511986</v>
      </c>
      <c r="I9" s="580">
        <f>38277.7811925584*36%</f>
        <v>13780.001229321024</v>
      </c>
      <c r="J9" s="49">
        <f t="shared" si="10"/>
        <v>0.26470588235294118</v>
      </c>
      <c r="K9" s="580">
        <f>35008.9302916698*26%</f>
        <v>9102.3218758341482</v>
      </c>
      <c r="L9" s="49">
        <f t="shared" si="11"/>
        <v>0.20634920635701759</v>
      </c>
      <c r="M9" s="25">
        <f>49642.178447212*40%</f>
        <v>19856.8713788848</v>
      </c>
      <c r="N9" s="49">
        <v>1</v>
      </c>
      <c r="O9" s="25">
        <f>31428.9854649835*40%</f>
        <v>12571.594185993401</v>
      </c>
      <c r="P9" s="49">
        <v>1</v>
      </c>
      <c r="Q9" s="55">
        <f>39026.598207706*39%</f>
        <v>15220.373301005342</v>
      </c>
      <c r="R9" s="49">
        <v>1</v>
      </c>
      <c r="S9" s="36">
        <f>39314.586238737*30%</f>
        <v>11794.3758716211</v>
      </c>
      <c r="T9" s="49">
        <v>1</v>
      </c>
      <c r="U9" s="36">
        <f>31184.5864999541*36%</f>
        <v>11226.451139983476</v>
      </c>
      <c r="V9" s="49">
        <v>1</v>
      </c>
      <c r="W9" s="55">
        <f>31728.4933797229*19%</f>
        <v>6028.4137421473506</v>
      </c>
      <c r="X9" s="49">
        <v>1</v>
      </c>
      <c r="Y9" s="36">
        <f>47931.0762955995*34%</f>
        <v>16296.565940503831</v>
      </c>
      <c r="Z9" s="49">
        <v>1</v>
      </c>
      <c r="AA9" s="105">
        <f>C9+E9+G9+I9+K9+M9+O9+Q9+S9+U9+W9+Y9</f>
        <v>156847.33869265293</v>
      </c>
      <c r="AB9" s="108">
        <f t="shared" si="6"/>
        <v>0.2599111488463593</v>
      </c>
      <c r="AC9" s="89">
        <f t="shared" si="2"/>
        <v>13070.611557721078</v>
      </c>
      <c r="AD9" s="92">
        <f t="shared" si="7"/>
        <v>0.2599111488463593</v>
      </c>
      <c r="AE9" s="309"/>
      <c r="AF9" s="309"/>
      <c r="AG9" s="64">
        <f>AA5*33%</f>
        <v>199143.52269348793</v>
      </c>
      <c r="AI9" s="271"/>
      <c r="AJ9" s="274"/>
      <c r="AK9" s="263">
        <f>C9*5.09+E9*5.09+G9*5.09+I9*5.09+K9*5.09+M9*5.09+O9*5.09+Q9*5.09+S9*5.09+U9*5.09+W9*5.09+Y9*5.09</f>
        <v>798352.95394560345</v>
      </c>
      <c r="AM9" s="64">
        <f t="shared" si="3"/>
        <v>156847.33869265293</v>
      </c>
      <c r="AN9" s="64">
        <f t="shared" si="4"/>
        <v>0</v>
      </c>
      <c r="AO9" s="64">
        <f t="shared" si="5"/>
        <v>77471.700102117189</v>
      </c>
      <c r="AP9" s="64"/>
    </row>
    <row r="10" spans="1:42" s="1" customFormat="1">
      <c r="A10" s="1">
        <v>5102</v>
      </c>
      <c r="B10" s="1" t="s">
        <v>196</v>
      </c>
      <c r="C10" s="55">
        <v>0</v>
      </c>
      <c r="D10" s="49">
        <f>C10/C$5</f>
        <v>0</v>
      </c>
      <c r="E10" s="55"/>
      <c r="F10" s="49"/>
      <c r="G10" s="55"/>
      <c r="H10" s="49"/>
      <c r="I10" s="55"/>
      <c r="J10" s="49">
        <f t="shared" si="10"/>
        <v>0</v>
      </c>
      <c r="K10" s="21"/>
      <c r="L10" s="49">
        <f t="shared" si="11"/>
        <v>0</v>
      </c>
      <c r="M10" s="55"/>
      <c r="N10" s="49">
        <f t="shared" si="12"/>
        <v>0</v>
      </c>
      <c r="O10" s="55"/>
      <c r="P10" s="49">
        <f t="shared" si="13"/>
        <v>0</v>
      </c>
      <c r="Q10" s="21"/>
      <c r="R10" s="49">
        <f t="shared" si="14"/>
        <v>0</v>
      </c>
      <c r="S10" s="37"/>
      <c r="T10" s="49">
        <f t="shared" si="15"/>
        <v>0</v>
      </c>
      <c r="U10" s="37"/>
      <c r="V10" s="49">
        <f t="shared" si="16"/>
        <v>0</v>
      </c>
      <c r="W10" s="37"/>
      <c r="X10" s="49">
        <f t="shared" si="17"/>
        <v>0</v>
      </c>
      <c r="Y10" s="37"/>
      <c r="Z10" s="49">
        <f t="shared" si="18"/>
        <v>0</v>
      </c>
      <c r="AA10" s="105">
        <f t="shared" si="0"/>
        <v>0</v>
      </c>
      <c r="AB10" s="108">
        <f t="shared" si="6"/>
        <v>0</v>
      </c>
      <c r="AC10" s="89">
        <f t="shared" si="2"/>
        <v>0</v>
      </c>
      <c r="AD10" s="92">
        <f t="shared" si="7"/>
        <v>0</v>
      </c>
      <c r="AE10" s="309"/>
      <c r="AF10" s="309"/>
      <c r="AG10" s="54"/>
      <c r="AI10" s="271"/>
      <c r="AJ10" s="274"/>
      <c r="AK10" s="263"/>
      <c r="AM10" s="64">
        <f t="shared" si="3"/>
        <v>0</v>
      </c>
      <c r="AN10" s="64">
        <f t="shared" si="4"/>
        <v>0</v>
      </c>
      <c r="AO10" s="64">
        <f t="shared" si="5"/>
        <v>0</v>
      </c>
    </row>
    <row r="11" spans="1:42" s="1" customFormat="1">
      <c r="A11" s="1">
        <v>5103</v>
      </c>
      <c r="B11" s="1" t="s">
        <v>63</v>
      </c>
      <c r="C11" s="46"/>
      <c r="D11" s="49">
        <f>C11/C$5</f>
        <v>0</v>
      </c>
      <c r="E11" s="61"/>
      <c r="F11" s="49">
        <f t="shared" si="8"/>
        <v>0</v>
      </c>
      <c r="G11" s="46"/>
      <c r="H11" s="49">
        <f t="shared" si="9"/>
        <v>0</v>
      </c>
      <c r="I11" s="46"/>
      <c r="J11" s="49">
        <f t="shared" si="10"/>
        <v>0</v>
      </c>
      <c r="K11" s="21"/>
      <c r="L11" s="49">
        <f t="shared" si="11"/>
        <v>0</v>
      </c>
      <c r="M11" s="21"/>
      <c r="N11" s="49">
        <f t="shared" si="12"/>
        <v>0</v>
      </c>
      <c r="O11" s="21"/>
      <c r="P11" s="49">
        <f t="shared" si="13"/>
        <v>0</v>
      </c>
      <c r="Q11" s="37">
        <v>0</v>
      </c>
      <c r="R11" s="49">
        <f t="shared" si="14"/>
        <v>0</v>
      </c>
      <c r="S11" s="37"/>
      <c r="T11" s="49">
        <f t="shared" si="15"/>
        <v>0</v>
      </c>
      <c r="U11" s="37"/>
      <c r="V11" s="49">
        <f t="shared" si="16"/>
        <v>0</v>
      </c>
      <c r="W11" s="37"/>
      <c r="X11" s="49">
        <f t="shared" si="17"/>
        <v>0</v>
      </c>
      <c r="Y11" s="37"/>
      <c r="Z11" s="49">
        <f t="shared" si="18"/>
        <v>0</v>
      </c>
      <c r="AA11" s="105">
        <f t="shared" si="0"/>
        <v>0</v>
      </c>
      <c r="AB11" s="108">
        <f t="shared" si="6"/>
        <v>0</v>
      </c>
      <c r="AC11" s="89">
        <f t="shared" ref="AC11" si="19">AA11/12</f>
        <v>0</v>
      </c>
      <c r="AD11" s="92">
        <f t="shared" si="7"/>
        <v>0</v>
      </c>
      <c r="AE11" s="308"/>
      <c r="AF11" s="308"/>
      <c r="AG11" s="54"/>
      <c r="AI11" s="271"/>
      <c r="AJ11" s="274"/>
      <c r="AK11" s="263">
        <f t="shared" ref="AK11:AK42" si="20">C11*5.09+E11*5.09+G11*5.09+I11*5.09+K11*5.09+M11*5.09+O11*5.09+Q11*5.09+S11*5.09+U11*5.09+W11*5.09+Y11*5.09</f>
        <v>0</v>
      </c>
      <c r="AM11" s="64">
        <f t="shared" si="3"/>
        <v>0</v>
      </c>
      <c r="AN11" s="64">
        <f t="shared" si="4"/>
        <v>0</v>
      </c>
      <c r="AO11" s="64">
        <f t="shared" si="5"/>
        <v>0</v>
      </c>
    </row>
    <row r="12" spans="1:42" s="1" customFormat="1" ht="15.75" thickBot="1">
      <c r="A12" s="7">
        <v>5149</v>
      </c>
      <c r="B12" s="7" t="s">
        <v>66</v>
      </c>
      <c r="C12" s="56">
        <f>C5+C6-C7-C8-C9-C10+C11</f>
        <v>33591</v>
      </c>
      <c r="D12" s="71">
        <f>C12/C12</f>
        <v>1</v>
      </c>
      <c r="E12" s="56">
        <f>E5+E6-E7-E8-E9-E10+E11</f>
        <v>26133.688574170403</v>
      </c>
      <c r="F12" s="71">
        <f>E12/E12</f>
        <v>1</v>
      </c>
      <c r="G12" s="56">
        <f>G5+G6-G7-G8-G9-G10+G11</f>
        <v>43349.976999999999</v>
      </c>
      <c r="H12" s="71">
        <f>G12/G12</f>
        <v>1</v>
      </c>
      <c r="I12" s="56">
        <f>I5+I6-I7-I8-I9-I10+I11</f>
        <v>38277.781192558403</v>
      </c>
      <c r="J12" s="71">
        <f>I12/I12</f>
        <v>1</v>
      </c>
      <c r="K12" s="56">
        <f>K5+K6-K7-K8-K9-K10+K11</f>
        <v>35008.930289999997</v>
      </c>
      <c r="L12" s="71">
        <f>K12/K12</f>
        <v>1</v>
      </c>
      <c r="M12" s="56">
        <f>M5+M6-M7-M8-M9-M10+M11</f>
        <v>49642.178447212005</v>
      </c>
      <c r="N12" s="71">
        <f>M12/M12</f>
        <v>1</v>
      </c>
      <c r="O12" s="56">
        <f>O5+O6-O7-O8-O9-O10+O11</f>
        <v>31428.985464983496</v>
      </c>
      <c r="P12" s="71">
        <f>O12/O12</f>
        <v>1</v>
      </c>
      <c r="Q12" s="56">
        <f>Q5+Q6-Q7-Q8-Q9-Q10+Q11</f>
        <v>39026.598207706003</v>
      </c>
      <c r="R12" s="71">
        <f>Q12/Q12</f>
        <v>1</v>
      </c>
      <c r="S12" s="56">
        <f>S5+S6-S7-S8-S9-S10+S11</f>
        <v>39314.586238737</v>
      </c>
      <c r="T12" s="71">
        <f>S12/S12</f>
        <v>1</v>
      </c>
      <c r="U12" s="56">
        <f>U5+U6-U7-U8-U9-U10+U11</f>
        <v>31184.586499954101</v>
      </c>
      <c r="V12" s="71">
        <f>U12/U12</f>
        <v>1</v>
      </c>
      <c r="W12" s="56">
        <f>W5+W6-W7-W8-W9-W10+W11</f>
        <v>31728.493379722902</v>
      </c>
      <c r="X12" s="71">
        <f>W12/W12</f>
        <v>1</v>
      </c>
      <c r="Y12" s="56">
        <f>Y5+Y6-Y7-Y8-Y9-Y10+Y11</f>
        <v>47931.076295599501</v>
      </c>
      <c r="Z12" s="71">
        <f>Y12/Y12</f>
        <v>1</v>
      </c>
      <c r="AA12" s="109">
        <f>AA5+AA6-AA7-AA8-AA9-AA10+AA11</f>
        <v>446617.88159064384</v>
      </c>
      <c r="AB12" s="110">
        <f>AA12/AA12</f>
        <v>1</v>
      </c>
      <c r="AC12" s="93">
        <f>AC5+AC6-AC7-AC8-AC9-AC10+AC11</f>
        <v>37218.15679922032</v>
      </c>
      <c r="AD12" s="94">
        <f>AC12/AC12</f>
        <v>1</v>
      </c>
      <c r="AE12" s="310">
        <v>40513</v>
      </c>
      <c r="AF12" s="310"/>
      <c r="AG12" s="64">
        <v>34032</v>
      </c>
      <c r="AH12" s="64">
        <f>(AC12-AG12)/AG12*100</f>
        <v>9.36223789145604</v>
      </c>
      <c r="AI12" s="271"/>
      <c r="AJ12" s="274"/>
      <c r="AK12" s="263">
        <f t="shared" si="20"/>
        <v>2273285.0172963766</v>
      </c>
      <c r="AM12" s="64">
        <f t="shared" si="3"/>
        <v>446617.88159064384</v>
      </c>
      <c r="AN12" s="64">
        <f t="shared" si="4"/>
        <v>0</v>
      </c>
      <c r="AO12" s="64">
        <f t="shared" si="5"/>
        <v>198645.38487722355</v>
      </c>
    </row>
    <row r="13" spans="1:42" s="1" customFormat="1" ht="15.75" thickTop="1">
      <c r="A13" s="1">
        <v>5151</v>
      </c>
      <c r="B13" s="1" t="s">
        <v>47</v>
      </c>
      <c r="C13" s="46"/>
      <c r="D13" s="68"/>
      <c r="E13" s="46"/>
      <c r="F13" s="68"/>
      <c r="G13" s="46">
        <v>0</v>
      </c>
      <c r="H13" s="68"/>
      <c r="I13" s="46">
        <v>0</v>
      </c>
      <c r="J13" s="68"/>
      <c r="K13" s="21">
        <v>0</v>
      </c>
      <c r="L13" s="68"/>
      <c r="M13" s="21"/>
      <c r="N13" s="68"/>
      <c r="O13" s="21"/>
      <c r="P13" s="68"/>
      <c r="Q13" s="46"/>
      <c r="R13" s="68"/>
      <c r="S13" s="37"/>
      <c r="T13" s="68"/>
      <c r="U13" s="37"/>
      <c r="V13" s="68"/>
      <c r="W13" s="37"/>
      <c r="X13" s="68"/>
      <c r="Y13" s="37"/>
      <c r="Z13" s="68"/>
      <c r="AA13" s="105">
        <f>C13+E13+G13+I13+K13+M13+O13+Q13+S13+U13+W13+Y13</f>
        <v>0</v>
      </c>
      <c r="AB13" s="107"/>
      <c r="AC13" s="89">
        <f t="shared" ref="AC13:AC14" si="21">AA13/12</f>
        <v>0</v>
      </c>
      <c r="AD13" s="91"/>
      <c r="AE13" s="308"/>
      <c r="AF13" s="308"/>
      <c r="AG13" s="64"/>
      <c r="AI13" s="271"/>
      <c r="AJ13" s="274"/>
      <c r="AK13" s="263">
        <f t="shared" si="20"/>
        <v>0</v>
      </c>
      <c r="AM13" s="64">
        <f t="shared" si="3"/>
        <v>0</v>
      </c>
      <c r="AN13" s="64">
        <f t="shared" si="4"/>
        <v>0</v>
      </c>
      <c r="AO13" s="64">
        <f t="shared" si="5"/>
        <v>0</v>
      </c>
    </row>
    <row r="14" spans="1:42" s="1" customFormat="1">
      <c r="A14" s="1">
        <v>5152</v>
      </c>
      <c r="B14" s="1" t="s">
        <v>48</v>
      </c>
      <c r="C14" s="46"/>
      <c r="D14" s="68"/>
      <c r="E14" s="46"/>
      <c r="F14" s="68"/>
      <c r="G14" s="46"/>
      <c r="H14" s="68"/>
      <c r="I14" s="46"/>
      <c r="J14" s="68"/>
      <c r="K14" s="21"/>
      <c r="L14" s="68"/>
      <c r="M14" s="21"/>
      <c r="N14" s="68"/>
      <c r="O14" s="21"/>
      <c r="P14" s="68"/>
      <c r="Q14" s="46"/>
      <c r="R14" s="68"/>
      <c r="S14" s="37"/>
      <c r="T14" s="68"/>
      <c r="U14" s="37"/>
      <c r="V14" s="68"/>
      <c r="W14" s="37"/>
      <c r="X14" s="68"/>
      <c r="Y14" s="37"/>
      <c r="Z14" s="68"/>
      <c r="AA14" s="105">
        <f>C14+E14+G14+I14+K14+M14+O14+Q14+S14+U14+W14+Y14</f>
        <v>0</v>
      </c>
      <c r="AB14" s="107"/>
      <c r="AC14" s="89">
        <f t="shared" si="21"/>
        <v>0</v>
      </c>
      <c r="AD14" s="91"/>
      <c r="AE14" s="308"/>
      <c r="AF14" s="308"/>
      <c r="AG14" s="64"/>
      <c r="AI14" s="271"/>
      <c r="AJ14" s="274"/>
      <c r="AK14" s="263">
        <f t="shared" si="20"/>
        <v>0</v>
      </c>
      <c r="AM14" s="64">
        <f t="shared" si="3"/>
        <v>0</v>
      </c>
      <c r="AN14" s="64">
        <f t="shared" si="4"/>
        <v>0</v>
      </c>
      <c r="AO14" s="64">
        <f t="shared" si="5"/>
        <v>0</v>
      </c>
    </row>
    <row r="15" spans="1:42" s="1" customFormat="1" ht="15.75" thickBot="1">
      <c r="A15" s="39">
        <v>5198</v>
      </c>
      <c r="B15" s="39" t="s">
        <v>107</v>
      </c>
      <c r="C15" s="57">
        <f>C13+C14</f>
        <v>0</v>
      </c>
      <c r="D15" s="72"/>
      <c r="E15" s="57">
        <f>E13+E14</f>
        <v>0</v>
      </c>
      <c r="F15" s="72"/>
      <c r="G15" s="57">
        <f>G13+G14</f>
        <v>0</v>
      </c>
      <c r="H15" s="72"/>
      <c r="I15" s="57">
        <f>I13+I14</f>
        <v>0</v>
      </c>
      <c r="J15" s="72"/>
      <c r="K15" s="187">
        <f>K13+K14</f>
        <v>0</v>
      </c>
      <c r="L15" s="72"/>
      <c r="M15" s="187">
        <f>M13+M14</f>
        <v>0</v>
      </c>
      <c r="N15" s="72"/>
      <c r="O15" s="187">
        <f>O13+O14</f>
        <v>0</v>
      </c>
      <c r="P15" s="72"/>
      <c r="Q15" s="57">
        <f>Q13+Q14</f>
        <v>0</v>
      </c>
      <c r="R15" s="72"/>
      <c r="S15" s="40">
        <f>S13+S14</f>
        <v>0</v>
      </c>
      <c r="T15" s="72"/>
      <c r="U15" s="40">
        <f>U13+U14</f>
        <v>0</v>
      </c>
      <c r="V15" s="72"/>
      <c r="W15" s="40">
        <f>W13+W14</f>
        <v>0</v>
      </c>
      <c r="X15" s="72"/>
      <c r="Y15" s="40">
        <f>Y13+Y14</f>
        <v>0</v>
      </c>
      <c r="Z15" s="72"/>
      <c r="AA15" s="109">
        <f>AA13+AA14</f>
        <v>0</v>
      </c>
      <c r="AB15" s="111"/>
      <c r="AC15" s="93">
        <f>AC13+AC14</f>
        <v>0</v>
      </c>
      <c r="AD15" s="95"/>
      <c r="AE15" s="308"/>
      <c r="AF15" s="308"/>
      <c r="AG15" s="64"/>
      <c r="AI15" s="271"/>
      <c r="AJ15" s="274"/>
      <c r="AK15" s="263">
        <f t="shared" si="20"/>
        <v>0</v>
      </c>
      <c r="AM15" s="64">
        <f t="shared" si="3"/>
        <v>0</v>
      </c>
      <c r="AN15" s="64">
        <f t="shared" si="4"/>
        <v>0</v>
      </c>
      <c r="AO15" s="64">
        <f t="shared" si="5"/>
        <v>0</v>
      </c>
    </row>
    <row r="16" spans="1:42" s="1" customFormat="1" ht="16.5" thickTop="1" thickBot="1">
      <c r="A16" s="41">
        <v>5199</v>
      </c>
      <c r="B16" s="41" t="s">
        <v>70</v>
      </c>
      <c r="C16" s="58">
        <f>C12+C15</f>
        <v>33591</v>
      </c>
      <c r="D16" s="73">
        <f>C16/C12</f>
        <v>1</v>
      </c>
      <c r="E16" s="58">
        <f>E12+E15</f>
        <v>26133.688574170403</v>
      </c>
      <c r="F16" s="73">
        <f>E16/E12</f>
        <v>1</v>
      </c>
      <c r="G16" s="58">
        <f>G12+G15</f>
        <v>43349.976999999999</v>
      </c>
      <c r="H16" s="73">
        <f>G16/G12</f>
        <v>1</v>
      </c>
      <c r="I16" s="58">
        <f>I12+I15</f>
        <v>38277.781192558403</v>
      </c>
      <c r="J16" s="73">
        <f>I16/I12</f>
        <v>1</v>
      </c>
      <c r="K16" s="188">
        <f>K12+K15</f>
        <v>35008.930289999997</v>
      </c>
      <c r="L16" s="73">
        <f>K16/K12</f>
        <v>1</v>
      </c>
      <c r="M16" s="188">
        <f>M12+M15</f>
        <v>49642.178447212005</v>
      </c>
      <c r="N16" s="73">
        <f>M16/M12</f>
        <v>1</v>
      </c>
      <c r="O16" s="188">
        <f>O12+O15</f>
        <v>31428.985464983496</v>
      </c>
      <c r="P16" s="73">
        <f>O16/O12</f>
        <v>1</v>
      </c>
      <c r="Q16" s="58">
        <f>Q12+Q15</f>
        <v>39026.598207706003</v>
      </c>
      <c r="R16" s="73">
        <f>Q16/Q12</f>
        <v>1</v>
      </c>
      <c r="S16" s="42">
        <f>S12+S15</f>
        <v>39314.586238737</v>
      </c>
      <c r="T16" s="73">
        <f>S16/S12</f>
        <v>1</v>
      </c>
      <c r="U16" s="42">
        <f>U12+U15</f>
        <v>31184.586499954101</v>
      </c>
      <c r="V16" s="73">
        <f>U16/U12</f>
        <v>1</v>
      </c>
      <c r="W16" s="42">
        <f>W12+W15</f>
        <v>31728.493379722902</v>
      </c>
      <c r="X16" s="73">
        <f>W16/W12</f>
        <v>1</v>
      </c>
      <c r="Y16" s="42">
        <f>Y12+Y15</f>
        <v>47931.076295599501</v>
      </c>
      <c r="Z16" s="73">
        <f>Y16/Y12</f>
        <v>1</v>
      </c>
      <c r="AA16" s="112">
        <f>AA12+AA15</f>
        <v>446617.88159064384</v>
      </c>
      <c r="AB16" s="113">
        <f>AA16/AA12</f>
        <v>1</v>
      </c>
      <c r="AC16" s="96">
        <f>AC12+AC15</f>
        <v>37218.15679922032</v>
      </c>
      <c r="AD16" s="97">
        <f>AC16/AC12</f>
        <v>1</v>
      </c>
      <c r="AE16" s="310"/>
      <c r="AF16" s="310"/>
      <c r="AG16" s="64"/>
      <c r="AI16" s="271"/>
      <c r="AJ16" s="274"/>
      <c r="AK16" s="263">
        <f t="shared" si="20"/>
        <v>2273285.0172963766</v>
      </c>
      <c r="AM16" s="64">
        <f t="shared" si="3"/>
        <v>446617.88159064384</v>
      </c>
      <c r="AN16" s="64">
        <f t="shared" si="4"/>
        <v>0</v>
      </c>
      <c r="AO16" s="64">
        <f t="shared" si="5"/>
        <v>198645.38487722355</v>
      </c>
    </row>
    <row r="17" spans="1:41" s="1" customFormat="1" ht="15.75" thickTop="1">
      <c r="A17" s="13">
        <v>5502</v>
      </c>
      <c r="B17" s="5" t="s">
        <v>49</v>
      </c>
      <c r="C17" s="189">
        <f>C12*63.25%</f>
        <v>21246.307499999999</v>
      </c>
      <c r="D17" s="49">
        <f>C17/C12</f>
        <v>0.63249999999999995</v>
      </c>
      <c r="E17" s="189">
        <f>E12*61.75%</f>
        <v>16137.552694550224</v>
      </c>
      <c r="F17" s="49">
        <f>E17/E12</f>
        <v>0.61750000000000005</v>
      </c>
      <c r="G17" s="189">
        <f>G12*71.27%</f>
        <v>30895.5286079</v>
      </c>
      <c r="H17" s="49">
        <f>G17/G12</f>
        <v>0.7127</v>
      </c>
      <c r="I17" s="189">
        <f>I12*60.56%</f>
        <v>23181.024290213369</v>
      </c>
      <c r="J17" s="49">
        <f>I17/I12</f>
        <v>0.60560000000000003</v>
      </c>
      <c r="K17" s="189">
        <f>K12*52.87%</f>
        <v>18509.221444322997</v>
      </c>
      <c r="L17" s="49">
        <f>K17/K12</f>
        <v>0.52869999999999995</v>
      </c>
      <c r="M17" s="189">
        <f>M12*69.31%</f>
        <v>34406.993881762646</v>
      </c>
      <c r="N17" s="49">
        <f>M17/M12</f>
        <v>0.69310000000000016</v>
      </c>
      <c r="O17" s="189">
        <f>O12*73.31%</f>
        <v>23040.5892443794</v>
      </c>
      <c r="P17" s="49">
        <f>O17/O12</f>
        <v>0.73309999999999997</v>
      </c>
      <c r="Q17" s="189">
        <f>Q12*64%</f>
        <v>24977.022852931841</v>
      </c>
      <c r="R17" s="49">
        <f>Q17/Q12</f>
        <v>0.64</v>
      </c>
      <c r="S17" s="189">
        <f>S12*74.54%</f>
        <v>29305.092582354562</v>
      </c>
      <c r="T17" s="49">
        <f>S17/S12</f>
        <v>0.74540000000000006</v>
      </c>
      <c r="U17" s="189">
        <f>U12*67.32%</f>
        <v>20993.463631769097</v>
      </c>
      <c r="V17" s="49">
        <f>U17/U12</f>
        <v>0.67319999999999991</v>
      </c>
      <c r="W17" s="189">
        <f>W12*44.24%</f>
        <v>14036.685471189412</v>
      </c>
      <c r="X17" s="49">
        <f>W17/W12</f>
        <v>0.44240000000000002</v>
      </c>
      <c r="Y17" s="189">
        <f>Y12*59.31%</f>
        <v>28427.921350920067</v>
      </c>
      <c r="Z17" s="49">
        <f>Y17/Y12</f>
        <v>0.59310000000000007</v>
      </c>
      <c r="AA17" s="105">
        <f>C17+E17+G17+I17+K17+M17+O17+Q17+S17+U17+W17+Y17</f>
        <v>285157.4035522936</v>
      </c>
      <c r="AB17" s="108">
        <f>AA17/AA12</f>
        <v>0.63848183269486747</v>
      </c>
      <c r="AC17" s="89">
        <f t="shared" ref="AC17:AC20" si="22">AA17/12</f>
        <v>23763.116962691132</v>
      </c>
      <c r="AD17" s="92">
        <f>AC17/AC12</f>
        <v>0.63848183269486747</v>
      </c>
      <c r="AE17" s="309"/>
      <c r="AF17" s="309"/>
      <c r="AG17" s="64"/>
      <c r="AI17" s="271"/>
      <c r="AJ17" s="274"/>
      <c r="AK17" s="263">
        <f t="shared" si="20"/>
        <v>1451451.1840811747</v>
      </c>
      <c r="AM17" s="64">
        <f t="shared" si="3"/>
        <v>285157.4035522936</v>
      </c>
      <c r="AN17" s="64">
        <f t="shared" si="4"/>
        <v>0</v>
      </c>
      <c r="AO17" s="64">
        <f t="shared" si="5"/>
        <v>127133.04632142307</v>
      </c>
    </row>
    <row r="18" spans="1:41" s="1" customFormat="1">
      <c r="A18" s="3">
        <v>5503</v>
      </c>
      <c r="B18" s="3" t="s">
        <v>50</v>
      </c>
      <c r="C18" s="46"/>
      <c r="D18" s="68"/>
      <c r="E18" s="46"/>
      <c r="F18" s="68"/>
      <c r="G18" s="46"/>
      <c r="H18" s="68"/>
      <c r="I18" s="46"/>
      <c r="J18" s="68"/>
      <c r="K18" s="21">
        <v>0</v>
      </c>
      <c r="L18" s="68"/>
      <c r="M18" s="21"/>
      <c r="N18" s="68"/>
      <c r="O18" s="21"/>
      <c r="P18" s="49"/>
      <c r="Q18" s="46"/>
      <c r="R18" s="68"/>
      <c r="S18" s="37"/>
      <c r="T18" s="68"/>
      <c r="U18" s="37"/>
      <c r="V18" s="68"/>
      <c r="W18" s="37"/>
      <c r="X18" s="68"/>
      <c r="Y18" s="37"/>
      <c r="Z18" s="68"/>
      <c r="AA18" s="105">
        <f>C18+E18+G18+I18+K18+M18+O18+Q18+S18+U18+W18+Y18</f>
        <v>0</v>
      </c>
      <c r="AB18" s="107"/>
      <c r="AC18" s="89">
        <f t="shared" si="22"/>
        <v>0</v>
      </c>
      <c r="AD18" s="91"/>
      <c r="AE18" s="308"/>
      <c r="AF18" s="308"/>
      <c r="AG18" s="64"/>
      <c r="AI18" s="271"/>
      <c r="AJ18" s="274"/>
      <c r="AK18" s="263">
        <f t="shared" si="20"/>
        <v>0</v>
      </c>
      <c r="AM18" s="64">
        <f t="shared" si="3"/>
        <v>0</v>
      </c>
      <c r="AN18" s="64">
        <f t="shared" si="4"/>
        <v>0</v>
      </c>
      <c r="AO18" s="64">
        <f t="shared" si="5"/>
        <v>0</v>
      </c>
    </row>
    <row r="19" spans="1:41" s="1" customFormat="1">
      <c r="A19" s="3">
        <v>5504</v>
      </c>
      <c r="B19" s="3" t="s">
        <v>51</v>
      </c>
      <c r="C19" s="46"/>
      <c r="D19" s="49">
        <f>C19/C12</f>
        <v>0</v>
      </c>
      <c r="E19" s="46"/>
      <c r="F19" s="49">
        <f>E19/E12</f>
        <v>0</v>
      </c>
      <c r="G19" s="46"/>
      <c r="H19" s="49">
        <f>G19/G12</f>
        <v>0</v>
      </c>
      <c r="I19" s="46"/>
      <c r="J19" s="49">
        <f>I19/I12</f>
        <v>0</v>
      </c>
      <c r="K19" s="21"/>
      <c r="L19" s="49">
        <f>K19/K12</f>
        <v>0</v>
      </c>
      <c r="M19" s="21"/>
      <c r="N19" s="49">
        <f>M19/M12</f>
        <v>0</v>
      </c>
      <c r="O19" s="21"/>
      <c r="P19" s="49">
        <f>O19/O12</f>
        <v>0</v>
      </c>
      <c r="Q19" s="46"/>
      <c r="R19" s="49">
        <f>Q19/Q12</f>
        <v>0</v>
      </c>
      <c r="S19" s="37"/>
      <c r="T19" s="49">
        <f>S19/S12</f>
        <v>0</v>
      </c>
      <c r="U19" s="37"/>
      <c r="V19" s="49">
        <f>U19/U12</f>
        <v>0</v>
      </c>
      <c r="W19" s="37"/>
      <c r="X19" s="49">
        <f>W19/W12</f>
        <v>0</v>
      </c>
      <c r="Y19" s="37"/>
      <c r="Z19" s="49">
        <f>Y19/Y12</f>
        <v>0</v>
      </c>
      <c r="AA19" s="105">
        <f>C19+E19+G19+I19+K19+M19+O19+Q19+S19+U19+W19+Y19</f>
        <v>0</v>
      </c>
      <c r="AB19" s="108">
        <f>AA19/AA12</f>
        <v>0</v>
      </c>
      <c r="AC19" s="89">
        <f t="shared" si="22"/>
        <v>0</v>
      </c>
      <c r="AD19" s="92">
        <f>AC19/AC12</f>
        <v>0</v>
      </c>
      <c r="AE19" s="309"/>
      <c r="AF19" s="309"/>
      <c r="AG19" s="64"/>
      <c r="AI19" s="271"/>
      <c r="AJ19" s="274"/>
      <c r="AK19" s="263">
        <f t="shared" si="20"/>
        <v>0</v>
      </c>
      <c r="AM19" s="64">
        <f t="shared" si="3"/>
        <v>0</v>
      </c>
      <c r="AN19" s="64">
        <f t="shared" si="4"/>
        <v>0</v>
      </c>
      <c r="AO19" s="64">
        <f t="shared" si="5"/>
        <v>0</v>
      </c>
    </row>
    <row r="20" spans="1:41" s="1" customFormat="1">
      <c r="A20" s="3">
        <v>5505</v>
      </c>
      <c r="B20" s="3" t="s">
        <v>52</v>
      </c>
      <c r="C20" s="46"/>
      <c r="D20" s="68"/>
      <c r="E20" s="46"/>
      <c r="F20" s="68"/>
      <c r="G20" s="46"/>
      <c r="H20" s="68"/>
      <c r="I20" s="46"/>
      <c r="J20" s="68"/>
      <c r="K20" s="21"/>
      <c r="L20" s="68"/>
      <c r="M20" s="21"/>
      <c r="N20" s="68"/>
      <c r="O20" s="21"/>
      <c r="P20" s="68"/>
      <c r="Q20" s="46"/>
      <c r="R20" s="68"/>
      <c r="S20" s="37"/>
      <c r="T20" s="68"/>
      <c r="U20" s="37"/>
      <c r="V20" s="68"/>
      <c r="W20" s="37"/>
      <c r="X20" s="68"/>
      <c r="Y20" s="37"/>
      <c r="Z20" s="68"/>
      <c r="AA20" s="105">
        <f>C20+E20+G20+I20+K20+M20+O20+Q20+S20+U20+W20+Y20</f>
        <v>0</v>
      </c>
      <c r="AB20" s="107"/>
      <c r="AC20" s="89">
        <f t="shared" si="22"/>
        <v>0</v>
      </c>
      <c r="AD20" s="91"/>
      <c r="AE20" s="308"/>
      <c r="AF20" s="308"/>
      <c r="AG20" s="64"/>
      <c r="AI20" s="271"/>
      <c r="AJ20" s="274"/>
      <c r="AK20" s="263">
        <f t="shared" si="20"/>
        <v>0</v>
      </c>
      <c r="AM20" s="64">
        <f t="shared" si="3"/>
        <v>0</v>
      </c>
      <c r="AN20" s="64">
        <f t="shared" si="4"/>
        <v>0</v>
      </c>
      <c r="AO20" s="64">
        <f t="shared" si="5"/>
        <v>0</v>
      </c>
    </row>
    <row r="21" spans="1:41" s="1" customFormat="1" ht="15.75" thickBot="1">
      <c r="A21" s="8">
        <v>5599</v>
      </c>
      <c r="B21" s="8" t="s">
        <v>108</v>
      </c>
      <c r="C21" s="56">
        <f>SUM(C17:C20)</f>
        <v>21246.307499999999</v>
      </c>
      <c r="D21" s="71">
        <f>C21/C12</f>
        <v>0.63249999999999995</v>
      </c>
      <c r="E21" s="56">
        <f>SUM(E17:E20)</f>
        <v>16137.552694550224</v>
      </c>
      <c r="F21" s="71">
        <f>E21/E12</f>
        <v>0.61750000000000005</v>
      </c>
      <c r="G21" s="56">
        <f>SUM(G17:G20)</f>
        <v>30895.5286079</v>
      </c>
      <c r="H21" s="71">
        <f>G21/G12</f>
        <v>0.7127</v>
      </c>
      <c r="I21" s="56">
        <f>SUM(I17:I20)</f>
        <v>23181.024290213369</v>
      </c>
      <c r="J21" s="71">
        <f>I21/I12</f>
        <v>0.60560000000000003</v>
      </c>
      <c r="K21" s="22">
        <f>SUM(K17:K20)</f>
        <v>18509.221444322997</v>
      </c>
      <c r="L21" s="71">
        <f>K21/K12</f>
        <v>0.52869999999999995</v>
      </c>
      <c r="M21" s="22">
        <f>SUM(M17:M20)</f>
        <v>34406.993881762646</v>
      </c>
      <c r="N21" s="71">
        <f>M21/M12</f>
        <v>0.69310000000000016</v>
      </c>
      <c r="O21" s="191">
        <f>SUM(O17:O20)</f>
        <v>23040.5892443794</v>
      </c>
      <c r="P21" s="71">
        <f>O21/O12</f>
        <v>0.73309999999999997</v>
      </c>
      <c r="Q21" s="56">
        <f>SUM(Q17:Q20)</f>
        <v>24977.022852931841</v>
      </c>
      <c r="R21" s="71">
        <f>Q21/Q12</f>
        <v>0.64</v>
      </c>
      <c r="S21" s="38">
        <f>SUM(S17:S20)</f>
        <v>29305.092582354562</v>
      </c>
      <c r="T21" s="71">
        <f>S21/S12</f>
        <v>0.74540000000000006</v>
      </c>
      <c r="U21" s="38">
        <f>SUM(U17:U20)</f>
        <v>20993.463631769097</v>
      </c>
      <c r="V21" s="71">
        <f>U21/U12</f>
        <v>0.67319999999999991</v>
      </c>
      <c r="W21" s="38">
        <f>SUM(W17:W20)</f>
        <v>14036.685471189412</v>
      </c>
      <c r="X21" s="71">
        <f>W21/W12</f>
        <v>0.44240000000000002</v>
      </c>
      <c r="Y21" s="38">
        <f>SUM(Y17:Y20)</f>
        <v>28427.921350920067</v>
      </c>
      <c r="Z21" s="71">
        <f>Y21/Y12</f>
        <v>0.59310000000000007</v>
      </c>
      <c r="AA21" s="109">
        <f>SUM(AA17:AA20)</f>
        <v>285157.4035522936</v>
      </c>
      <c r="AB21" s="110">
        <f>AA21/AA12</f>
        <v>0.63848183269486747</v>
      </c>
      <c r="AC21" s="93">
        <f>SUM(AC17:AC20)</f>
        <v>23763.116962691132</v>
      </c>
      <c r="AD21" s="94">
        <f>AC21/AC12</f>
        <v>0.63848183269486747</v>
      </c>
      <c r="AE21" s="310"/>
      <c r="AF21" s="310"/>
      <c r="AG21" s="64"/>
      <c r="AI21" s="271"/>
      <c r="AJ21" s="274"/>
      <c r="AK21" s="263">
        <f t="shared" si="20"/>
        <v>1451451.1840811747</v>
      </c>
      <c r="AM21" s="64">
        <f t="shared" si="3"/>
        <v>285157.4035522936</v>
      </c>
      <c r="AN21" s="64">
        <f t="shared" si="4"/>
        <v>0</v>
      </c>
      <c r="AO21" s="64">
        <f t="shared" si="5"/>
        <v>127133.04632142307</v>
      </c>
    </row>
    <row r="22" spans="1:41" s="1" customFormat="1" ht="15.75" thickTop="1">
      <c r="A22" s="3">
        <v>5601</v>
      </c>
      <c r="B22" s="3" t="s">
        <v>53</v>
      </c>
      <c r="C22" s="46"/>
      <c r="D22" s="49">
        <f>C22/C$12</f>
        <v>0</v>
      </c>
      <c r="E22" s="46"/>
      <c r="F22" s="49">
        <f t="shared" ref="F22:F35" si="23">E22/E$12</f>
        <v>0</v>
      </c>
      <c r="G22" s="46"/>
      <c r="H22" s="49">
        <f t="shared" ref="H22:H34" si="24">G22/G$12</f>
        <v>0</v>
      </c>
      <c r="I22" s="46"/>
      <c r="J22" s="49">
        <f t="shared" ref="J22:J34" si="25">I22/I$12</f>
        <v>0</v>
      </c>
      <c r="K22" s="21"/>
      <c r="L22" s="49">
        <f t="shared" ref="L22:L34" si="26">K22/K$12</f>
        <v>0</v>
      </c>
      <c r="M22" s="21"/>
      <c r="N22" s="49">
        <f t="shared" ref="N22:N34" si="27">M22/M$12</f>
        <v>0</v>
      </c>
      <c r="O22" s="21"/>
      <c r="P22" s="49">
        <f t="shared" ref="P22:P34" si="28">O22/O$12</f>
        <v>0</v>
      </c>
      <c r="Q22" s="46">
        <v>0</v>
      </c>
      <c r="R22" s="49">
        <f>Q22/Q$12</f>
        <v>0</v>
      </c>
      <c r="S22" s="37">
        <v>0</v>
      </c>
      <c r="T22" s="49">
        <f t="shared" ref="T22:T34" si="29">S22/S$12</f>
        <v>0</v>
      </c>
      <c r="U22" s="37"/>
      <c r="V22" s="49">
        <f t="shared" ref="V22:V34" si="30">U22/U$12</f>
        <v>0</v>
      </c>
      <c r="W22" s="37"/>
      <c r="X22" s="49">
        <f>W22/W$12</f>
        <v>0</v>
      </c>
      <c r="Y22" s="37"/>
      <c r="Z22" s="49">
        <f t="shared" ref="Z22:Z34" si="31">Y22/Y$12</f>
        <v>0</v>
      </c>
      <c r="AA22" s="105">
        <f t="shared" ref="AA22:AA34" si="32">C22+E22+G22+I22+K22+M22+O22+Q22+S22+U22+W22+Y22</f>
        <v>0</v>
      </c>
      <c r="AB22" s="108">
        <f t="shared" ref="AB22:AB34" si="33">AA22/AA$12</f>
        <v>0</v>
      </c>
      <c r="AC22" s="89">
        <f t="shared" ref="AC22:AC34" si="34">AA22/12</f>
        <v>0</v>
      </c>
      <c r="AD22" s="92">
        <f t="shared" ref="AD22:AD34" si="35">AC22/AC$12</f>
        <v>0</v>
      </c>
      <c r="AE22" s="309"/>
      <c r="AF22" s="309"/>
      <c r="AG22" s="64"/>
      <c r="AI22" s="271"/>
      <c r="AJ22" s="274"/>
      <c r="AK22" s="263">
        <f t="shared" si="20"/>
        <v>0</v>
      </c>
      <c r="AM22" s="64">
        <f t="shared" si="3"/>
        <v>0</v>
      </c>
      <c r="AN22" s="64">
        <f t="shared" si="4"/>
        <v>0</v>
      </c>
      <c r="AO22" s="64">
        <f t="shared" si="5"/>
        <v>0</v>
      </c>
    </row>
    <row r="23" spans="1:41" s="1" customFormat="1">
      <c r="A23" s="3">
        <v>5602</v>
      </c>
      <c r="B23" s="3" t="s">
        <v>54</v>
      </c>
      <c r="C23" s="46"/>
      <c r="D23" s="49">
        <f>C23/C$12</f>
        <v>0</v>
      </c>
      <c r="E23" s="46"/>
      <c r="F23" s="49">
        <f t="shared" si="23"/>
        <v>0</v>
      </c>
      <c r="G23" s="46"/>
      <c r="H23" s="49">
        <f t="shared" si="24"/>
        <v>0</v>
      </c>
      <c r="I23" s="46"/>
      <c r="J23" s="49">
        <f t="shared" si="25"/>
        <v>0</v>
      </c>
      <c r="K23" s="21"/>
      <c r="L23" s="49">
        <f t="shared" si="26"/>
        <v>0</v>
      </c>
      <c r="M23" s="21"/>
      <c r="N23" s="49">
        <f t="shared" si="27"/>
        <v>0</v>
      </c>
      <c r="O23" s="21"/>
      <c r="P23" s="49">
        <f t="shared" si="28"/>
        <v>0</v>
      </c>
      <c r="Q23" s="46"/>
      <c r="R23" s="49">
        <f>Q23/Q$12</f>
        <v>0</v>
      </c>
      <c r="S23" s="37"/>
      <c r="T23" s="49">
        <f t="shared" si="29"/>
        <v>0</v>
      </c>
      <c r="U23" s="37"/>
      <c r="V23" s="49">
        <f t="shared" si="30"/>
        <v>0</v>
      </c>
      <c r="W23" s="37"/>
      <c r="X23" s="49">
        <f>W23/W$12</f>
        <v>0</v>
      </c>
      <c r="Y23" s="37"/>
      <c r="Z23" s="49">
        <f t="shared" si="31"/>
        <v>0</v>
      </c>
      <c r="AA23" s="105">
        <f t="shared" si="32"/>
        <v>0</v>
      </c>
      <c r="AB23" s="108">
        <f t="shared" si="33"/>
        <v>0</v>
      </c>
      <c r="AC23" s="89">
        <f t="shared" si="34"/>
        <v>0</v>
      </c>
      <c r="AD23" s="92">
        <f t="shared" si="35"/>
        <v>0</v>
      </c>
      <c r="AE23" s="309"/>
      <c r="AF23" s="309"/>
      <c r="AG23" s="64"/>
      <c r="AI23" s="271"/>
      <c r="AJ23" s="274"/>
      <c r="AK23" s="263">
        <f t="shared" si="20"/>
        <v>0</v>
      </c>
      <c r="AM23" s="64">
        <f t="shared" si="3"/>
        <v>0</v>
      </c>
      <c r="AN23" s="64">
        <f t="shared" si="4"/>
        <v>0</v>
      </c>
      <c r="AO23" s="64">
        <f t="shared" si="5"/>
        <v>0</v>
      </c>
    </row>
    <row r="24" spans="1:41" s="1" customFormat="1">
      <c r="A24" s="3">
        <v>5603</v>
      </c>
      <c r="B24" s="3" t="s">
        <v>55</v>
      </c>
      <c r="C24" s="46"/>
      <c r="D24" s="49">
        <f>C24/C$12</f>
        <v>0</v>
      </c>
      <c r="E24" s="46"/>
      <c r="F24" s="49">
        <f t="shared" si="23"/>
        <v>0</v>
      </c>
      <c r="G24" s="46"/>
      <c r="H24" s="49">
        <f t="shared" si="24"/>
        <v>0</v>
      </c>
      <c r="I24" s="46"/>
      <c r="J24" s="49">
        <f t="shared" si="25"/>
        <v>0</v>
      </c>
      <c r="K24" s="21"/>
      <c r="L24" s="49">
        <f t="shared" si="26"/>
        <v>0</v>
      </c>
      <c r="M24" s="21"/>
      <c r="N24" s="49">
        <f t="shared" si="27"/>
        <v>0</v>
      </c>
      <c r="O24" s="21"/>
      <c r="P24" s="49">
        <f t="shared" si="28"/>
        <v>0</v>
      </c>
      <c r="Q24" s="46"/>
      <c r="R24" s="49">
        <f>Q24/Q$12</f>
        <v>0</v>
      </c>
      <c r="S24" s="37"/>
      <c r="T24" s="49">
        <f t="shared" si="29"/>
        <v>0</v>
      </c>
      <c r="U24" s="37"/>
      <c r="V24" s="49">
        <f t="shared" si="30"/>
        <v>0</v>
      </c>
      <c r="W24" s="37"/>
      <c r="X24" s="49">
        <f>W24/W$12</f>
        <v>0</v>
      </c>
      <c r="Y24" s="37"/>
      <c r="Z24" s="49">
        <f t="shared" si="31"/>
        <v>0</v>
      </c>
      <c r="AA24" s="105">
        <f t="shared" si="32"/>
        <v>0</v>
      </c>
      <c r="AB24" s="108">
        <f t="shared" si="33"/>
        <v>0</v>
      </c>
      <c r="AC24" s="89">
        <f t="shared" si="34"/>
        <v>0</v>
      </c>
      <c r="AD24" s="92">
        <f t="shared" si="35"/>
        <v>0</v>
      </c>
      <c r="AE24" s="309"/>
      <c r="AF24" s="309"/>
      <c r="AG24" s="64"/>
      <c r="AI24" s="271"/>
      <c r="AJ24" s="274"/>
      <c r="AK24" s="263">
        <f t="shared" si="20"/>
        <v>0</v>
      </c>
      <c r="AM24" s="64">
        <f t="shared" si="3"/>
        <v>0</v>
      </c>
      <c r="AN24" s="64">
        <f t="shared" si="4"/>
        <v>0</v>
      </c>
      <c r="AO24" s="64">
        <f t="shared" si="5"/>
        <v>0</v>
      </c>
    </row>
    <row r="25" spans="1:41" s="1" customFormat="1">
      <c r="A25" s="3">
        <v>5604</v>
      </c>
      <c r="B25" s="3" t="s">
        <v>56</v>
      </c>
      <c r="C25" s="46">
        <v>100</v>
      </c>
      <c r="D25" s="49">
        <f t="shared" ref="D25:D27" si="36">C25/C$12</f>
        <v>2.9769878836593136E-3</v>
      </c>
      <c r="E25" s="46">
        <v>100</v>
      </c>
      <c r="F25" s="49">
        <f t="shared" si="23"/>
        <v>3.8264785973931136E-3</v>
      </c>
      <c r="G25" s="46">
        <v>100</v>
      </c>
      <c r="H25" s="49">
        <f t="shared" si="24"/>
        <v>2.3068062988822347E-3</v>
      </c>
      <c r="I25" s="46">
        <v>100</v>
      </c>
      <c r="J25" s="49">
        <f t="shared" si="25"/>
        <v>2.612481624704021E-3</v>
      </c>
      <c r="K25" s="46">
        <v>100</v>
      </c>
      <c r="L25" s="49">
        <f t="shared" si="26"/>
        <v>2.8564140398361199E-3</v>
      </c>
      <c r="M25" s="46">
        <v>100</v>
      </c>
      <c r="N25" s="49">
        <f t="shared" si="27"/>
        <v>2.0144160294322494E-3</v>
      </c>
      <c r="O25" s="46">
        <v>100</v>
      </c>
      <c r="P25" s="49">
        <f t="shared" si="28"/>
        <v>3.1817762654608971E-3</v>
      </c>
      <c r="Q25" s="46">
        <v>100</v>
      </c>
      <c r="R25" s="49">
        <f>Q25/Q$12</f>
        <v>2.5623550243293941E-3</v>
      </c>
      <c r="S25" s="46">
        <v>100</v>
      </c>
      <c r="T25" s="49">
        <f t="shared" si="29"/>
        <v>2.5435852076059529E-3</v>
      </c>
      <c r="U25" s="46">
        <v>100</v>
      </c>
      <c r="V25" s="49">
        <f t="shared" si="30"/>
        <v>3.2067123930005353E-3</v>
      </c>
      <c r="W25" s="46">
        <v>100</v>
      </c>
      <c r="X25" s="49">
        <f>W25/W$12</f>
        <v>3.151741206341306E-3</v>
      </c>
      <c r="Y25" s="46">
        <v>100</v>
      </c>
      <c r="Z25" s="49">
        <f t="shared" si="31"/>
        <v>2.0863291152337609E-3</v>
      </c>
      <c r="AA25" s="105">
        <f t="shared" si="32"/>
        <v>1200</v>
      </c>
      <c r="AB25" s="108">
        <f t="shared" si="33"/>
        <v>2.6868606239547816E-3</v>
      </c>
      <c r="AC25" s="89">
        <f t="shared" si="34"/>
        <v>100</v>
      </c>
      <c r="AD25" s="92">
        <f t="shared" si="35"/>
        <v>2.6868606239547816E-3</v>
      </c>
      <c r="AE25" s="309"/>
      <c r="AF25" s="309"/>
      <c r="AG25" s="64"/>
      <c r="AI25" s="271"/>
      <c r="AJ25" s="274"/>
      <c r="AK25" s="263">
        <f t="shared" si="20"/>
        <v>6108</v>
      </c>
      <c r="AM25" s="64">
        <f t="shared" si="3"/>
        <v>1200</v>
      </c>
      <c r="AN25" s="64">
        <f t="shared" si="4"/>
        <v>0</v>
      </c>
      <c r="AO25" s="64">
        <f t="shared" si="5"/>
        <v>509</v>
      </c>
    </row>
    <row r="26" spans="1:41" s="1" customFormat="1">
      <c r="A26" s="3">
        <v>5605</v>
      </c>
      <c r="B26" s="3" t="s">
        <v>14</v>
      </c>
      <c r="C26" s="46"/>
      <c r="D26" s="49">
        <f t="shared" si="36"/>
        <v>0</v>
      </c>
      <c r="E26" s="46"/>
      <c r="F26" s="49">
        <f t="shared" si="23"/>
        <v>0</v>
      </c>
      <c r="G26" s="46"/>
      <c r="H26" s="49">
        <f t="shared" si="24"/>
        <v>0</v>
      </c>
      <c r="I26" s="46"/>
      <c r="J26" s="49">
        <f t="shared" si="25"/>
        <v>0</v>
      </c>
      <c r="K26" s="46"/>
      <c r="L26" s="49">
        <f t="shared" si="26"/>
        <v>0</v>
      </c>
      <c r="M26" s="46"/>
      <c r="N26" s="49">
        <f t="shared" si="27"/>
        <v>0</v>
      </c>
      <c r="O26" s="46"/>
      <c r="P26" s="49">
        <f t="shared" si="28"/>
        <v>0</v>
      </c>
      <c r="Q26" s="46"/>
      <c r="R26" s="49">
        <f>Q26/Q$12</f>
        <v>0</v>
      </c>
      <c r="S26" s="46"/>
      <c r="T26" s="49">
        <f t="shared" si="29"/>
        <v>0</v>
      </c>
      <c r="U26" s="46"/>
      <c r="V26" s="49">
        <f t="shared" si="30"/>
        <v>0</v>
      </c>
      <c r="W26" s="46"/>
      <c r="X26" s="49">
        <f>W26/W$12</f>
        <v>0</v>
      </c>
      <c r="Y26" s="46"/>
      <c r="Z26" s="49">
        <f t="shared" si="31"/>
        <v>0</v>
      </c>
      <c r="AA26" s="105">
        <f t="shared" si="32"/>
        <v>0</v>
      </c>
      <c r="AB26" s="108">
        <f t="shared" si="33"/>
        <v>0</v>
      </c>
      <c r="AC26" s="89">
        <f t="shared" si="34"/>
        <v>0</v>
      </c>
      <c r="AD26" s="92">
        <f t="shared" si="35"/>
        <v>0</v>
      </c>
      <c r="AE26" s="309"/>
      <c r="AF26" s="309"/>
      <c r="AG26" s="64"/>
      <c r="AI26" s="271"/>
      <c r="AJ26" s="274"/>
      <c r="AK26" s="263">
        <f t="shared" si="20"/>
        <v>0</v>
      </c>
      <c r="AM26" s="64">
        <f t="shared" si="3"/>
        <v>0</v>
      </c>
      <c r="AN26" s="64">
        <f t="shared" si="4"/>
        <v>0</v>
      </c>
      <c r="AO26" s="64">
        <f t="shared" si="5"/>
        <v>0</v>
      </c>
    </row>
    <row r="27" spans="1:41" s="1" customFormat="1">
      <c r="A27" s="3">
        <v>5606</v>
      </c>
      <c r="B27" s="3" t="s">
        <v>77</v>
      </c>
      <c r="C27" s="46">
        <f>C16*0.36%</f>
        <v>120.9276</v>
      </c>
      <c r="D27" s="49">
        <f t="shared" si="36"/>
        <v>3.5999999999999999E-3</v>
      </c>
      <c r="E27" s="46">
        <f>E16*0.36%</f>
        <v>94.081278867013452</v>
      </c>
      <c r="F27" s="49">
        <f t="shared" si="23"/>
        <v>3.5999999999999999E-3</v>
      </c>
      <c r="G27" s="46">
        <f>G16*0.36%</f>
        <v>156.0599172</v>
      </c>
      <c r="H27" s="49">
        <f t="shared" si="24"/>
        <v>3.5999999999999999E-3</v>
      </c>
      <c r="I27" s="46">
        <f>I16*0.36%</f>
        <v>137.80001229321024</v>
      </c>
      <c r="J27" s="49">
        <f t="shared" si="25"/>
        <v>3.5999999999999999E-3</v>
      </c>
      <c r="K27" s="46">
        <f>K16*0.36%</f>
        <v>126.03214904399998</v>
      </c>
      <c r="L27" s="49">
        <f t="shared" si="26"/>
        <v>3.5999999999999999E-3</v>
      </c>
      <c r="M27" s="46">
        <f>M16*0.36%</f>
        <v>178.71184240996323</v>
      </c>
      <c r="N27" s="49">
        <f t="shared" si="27"/>
        <v>3.6000000000000003E-3</v>
      </c>
      <c r="O27" s="46">
        <f>O16*0.36%</f>
        <v>113.14434767394059</v>
      </c>
      <c r="P27" s="49">
        <f t="shared" si="28"/>
        <v>3.5999999999999999E-3</v>
      </c>
      <c r="Q27" s="46">
        <f>Q16*0.36%</f>
        <v>140.4957535477416</v>
      </c>
      <c r="R27" s="49">
        <f>Q27/Q12</f>
        <v>3.5999999999999999E-3</v>
      </c>
      <c r="S27" s="46">
        <f>S16*0.36%</f>
        <v>141.53251045945319</v>
      </c>
      <c r="T27" s="49">
        <f t="shared" si="29"/>
        <v>3.5999999999999999E-3</v>
      </c>
      <c r="U27" s="46">
        <f>U16*0.36%</f>
        <v>112.26451139983476</v>
      </c>
      <c r="V27" s="49">
        <f t="shared" si="30"/>
        <v>3.5999999999999999E-3</v>
      </c>
      <c r="W27" s="46">
        <f>W16*0.36%</f>
        <v>114.22257616700244</v>
      </c>
      <c r="X27" s="49">
        <f>W27/W12</f>
        <v>3.5999999999999999E-3</v>
      </c>
      <c r="Y27" s="46">
        <f>Y16*0.36%</f>
        <v>172.55187466415819</v>
      </c>
      <c r="Z27" s="49">
        <f t="shared" si="31"/>
        <v>3.5999999999999999E-3</v>
      </c>
      <c r="AA27" s="105">
        <f t="shared" si="32"/>
        <v>1607.8243737263174</v>
      </c>
      <c r="AB27" s="108">
        <f t="shared" si="33"/>
        <v>3.599999999999999E-3</v>
      </c>
      <c r="AC27" s="89">
        <f t="shared" si="34"/>
        <v>133.98536447719312</v>
      </c>
      <c r="AD27" s="92">
        <f t="shared" si="35"/>
        <v>3.599999999999999E-3</v>
      </c>
      <c r="AE27" s="309"/>
      <c r="AF27" s="309"/>
      <c r="AG27" s="64">
        <v>5.0000000000000001E-4</v>
      </c>
      <c r="AI27" s="271" t="s">
        <v>207</v>
      </c>
      <c r="AJ27" s="274"/>
      <c r="AK27" s="263">
        <f t="shared" si="20"/>
        <v>8183.8260622669568</v>
      </c>
      <c r="AM27" s="64">
        <f t="shared" si="3"/>
        <v>1607.8243737263174</v>
      </c>
      <c r="AN27" s="64">
        <f t="shared" si="4"/>
        <v>0</v>
      </c>
      <c r="AO27" s="64">
        <f t="shared" si="5"/>
        <v>715.12338555800477</v>
      </c>
    </row>
    <row r="28" spans="1:41" s="1" customFormat="1">
      <c r="A28" s="3">
        <v>5607</v>
      </c>
      <c r="B28" s="3" t="s">
        <v>57</v>
      </c>
      <c r="C28" s="46"/>
      <c r="D28" s="49">
        <f t="shared" ref="D28:D34" si="37">C28/C$12</f>
        <v>0</v>
      </c>
      <c r="E28" s="46"/>
      <c r="F28" s="49">
        <f t="shared" si="23"/>
        <v>0</v>
      </c>
      <c r="G28" s="46"/>
      <c r="H28" s="49">
        <f t="shared" si="24"/>
        <v>0</v>
      </c>
      <c r="I28" s="46"/>
      <c r="J28" s="49">
        <f t="shared" si="25"/>
        <v>0</v>
      </c>
      <c r="K28" s="21"/>
      <c r="L28" s="49">
        <f t="shared" si="26"/>
        <v>0</v>
      </c>
      <c r="M28" s="21"/>
      <c r="N28" s="49">
        <f t="shared" si="27"/>
        <v>0</v>
      </c>
      <c r="O28" s="21"/>
      <c r="P28" s="49">
        <f t="shared" si="28"/>
        <v>0</v>
      </c>
      <c r="Q28" s="46"/>
      <c r="R28" s="49">
        <f t="shared" ref="R28:R34" si="38">Q28/Q$12</f>
        <v>0</v>
      </c>
      <c r="S28" s="37"/>
      <c r="T28" s="49">
        <f t="shared" si="29"/>
        <v>0</v>
      </c>
      <c r="U28" s="37"/>
      <c r="V28" s="49">
        <f t="shared" si="30"/>
        <v>0</v>
      </c>
      <c r="W28" s="37"/>
      <c r="X28" s="49">
        <f t="shared" ref="X28:X34" si="39">W28/W$12</f>
        <v>0</v>
      </c>
      <c r="Y28" s="37"/>
      <c r="Z28" s="49">
        <f t="shared" si="31"/>
        <v>0</v>
      </c>
      <c r="AA28" s="105">
        <f t="shared" si="32"/>
        <v>0</v>
      </c>
      <c r="AB28" s="108">
        <f t="shared" si="33"/>
        <v>0</v>
      </c>
      <c r="AC28" s="89">
        <f t="shared" si="34"/>
        <v>0</v>
      </c>
      <c r="AD28" s="92">
        <f t="shared" si="35"/>
        <v>0</v>
      </c>
      <c r="AE28" s="309"/>
      <c r="AF28" s="309"/>
      <c r="AG28" s="64"/>
      <c r="AI28" s="271"/>
      <c r="AJ28" s="274"/>
      <c r="AK28" s="263">
        <f t="shared" si="20"/>
        <v>0</v>
      </c>
      <c r="AM28" s="64">
        <f t="shared" si="3"/>
        <v>0</v>
      </c>
      <c r="AN28" s="64">
        <f t="shared" si="4"/>
        <v>0</v>
      </c>
      <c r="AO28" s="64">
        <f t="shared" si="5"/>
        <v>0</v>
      </c>
    </row>
    <row r="29" spans="1:41" s="1" customFormat="1">
      <c r="A29" s="3">
        <v>5608</v>
      </c>
      <c r="B29" s="3" t="s">
        <v>58</v>
      </c>
      <c r="C29" s="46"/>
      <c r="D29" s="49">
        <f t="shared" si="37"/>
        <v>0</v>
      </c>
      <c r="E29" s="46"/>
      <c r="F29" s="49">
        <f t="shared" si="23"/>
        <v>0</v>
      </c>
      <c r="G29" s="46"/>
      <c r="H29" s="49">
        <f t="shared" si="24"/>
        <v>0</v>
      </c>
      <c r="I29" s="46"/>
      <c r="J29" s="49">
        <f t="shared" si="25"/>
        <v>0</v>
      </c>
      <c r="K29" s="21"/>
      <c r="L29" s="49">
        <f t="shared" si="26"/>
        <v>0</v>
      </c>
      <c r="M29" s="21"/>
      <c r="N29" s="49">
        <f t="shared" si="27"/>
        <v>0</v>
      </c>
      <c r="O29" s="21"/>
      <c r="P29" s="49">
        <f t="shared" si="28"/>
        <v>0</v>
      </c>
      <c r="Q29" s="46"/>
      <c r="R29" s="49">
        <f t="shared" si="38"/>
        <v>0</v>
      </c>
      <c r="S29" s="37"/>
      <c r="T29" s="49">
        <f t="shared" si="29"/>
        <v>0</v>
      </c>
      <c r="U29" s="37"/>
      <c r="V29" s="49">
        <f t="shared" si="30"/>
        <v>0</v>
      </c>
      <c r="W29" s="37"/>
      <c r="X29" s="49">
        <f t="shared" si="39"/>
        <v>0</v>
      </c>
      <c r="Y29" s="37"/>
      <c r="Z29" s="49">
        <f t="shared" si="31"/>
        <v>0</v>
      </c>
      <c r="AA29" s="105">
        <f t="shared" si="32"/>
        <v>0</v>
      </c>
      <c r="AB29" s="108">
        <f t="shared" si="33"/>
        <v>0</v>
      </c>
      <c r="AC29" s="89">
        <f t="shared" si="34"/>
        <v>0</v>
      </c>
      <c r="AD29" s="92">
        <f t="shared" si="35"/>
        <v>0</v>
      </c>
      <c r="AE29" s="309"/>
      <c r="AF29" s="309"/>
      <c r="AG29" s="64"/>
      <c r="AI29" s="271"/>
      <c r="AJ29" s="274"/>
      <c r="AK29" s="263">
        <f t="shared" si="20"/>
        <v>0</v>
      </c>
      <c r="AM29" s="64">
        <f t="shared" si="3"/>
        <v>0</v>
      </c>
      <c r="AN29" s="64">
        <f t="shared" si="4"/>
        <v>0</v>
      </c>
      <c r="AO29" s="64">
        <f t="shared" si="5"/>
        <v>0</v>
      </c>
    </row>
    <row r="30" spans="1:41" s="1" customFormat="1">
      <c r="A30" s="3">
        <v>5609</v>
      </c>
      <c r="B30" s="3" t="s">
        <v>59</v>
      </c>
      <c r="C30" s="46"/>
      <c r="D30" s="49">
        <f t="shared" si="37"/>
        <v>0</v>
      </c>
      <c r="E30" s="46"/>
      <c r="F30" s="49">
        <f t="shared" si="23"/>
        <v>0</v>
      </c>
      <c r="G30" s="46"/>
      <c r="H30" s="49">
        <f t="shared" si="24"/>
        <v>0</v>
      </c>
      <c r="I30" s="46"/>
      <c r="J30" s="49">
        <f t="shared" si="25"/>
        <v>0</v>
      </c>
      <c r="K30" s="21"/>
      <c r="L30" s="49">
        <f t="shared" si="26"/>
        <v>0</v>
      </c>
      <c r="M30" s="21"/>
      <c r="N30" s="49">
        <f t="shared" si="27"/>
        <v>0</v>
      </c>
      <c r="O30" s="21"/>
      <c r="P30" s="49">
        <f t="shared" si="28"/>
        <v>0</v>
      </c>
      <c r="Q30" s="46"/>
      <c r="R30" s="49">
        <f t="shared" si="38"/>
        <v>0</v>
      </c>
      <c r="S30" s="37"/>
      <c r="T30" s="49">
        <f t="shared" si="29"/>
        <v>0</v>
      </c>
      <c r="U30" s="37"/>
      <c r="V30" s="49">
        <f t="shared" si="30"/>
        <v>0</v>
      </c>
      <c r="W30" s="37"/>
      <c r="X30" s="49">
        <f t="shared" si="39"/>
        <v>0</v>
      </c>
      <c r="Y30" s="37"/>
      <c r="Z30" s="49">
        <f t="shared" si="31"/>
        <v>0</v>
      </c>
      <c r="AA30" s="105">
        <f t="shared" si="32"/>
        <v>0</v>
      </c>
      <c r="AB30" s="108">
        <f t="shared" si="33"/>
        <v>0</v>
      </c>
      <c r="AC30" s="89">
        <f t="shared" si="34"/>
        <v>0</v>
      </c>
      <c r="AD30" s="92">
        <f t="shared" si="35"/>
        <v>0</v>
      </c>
      <c r="AE30" s="309"/>
      <c r="AF30" s="309"/>
      <c r="AG30" s="64"/>
      <c r="AI30" s="271"/>
      <c r="AJ30" s="274"/>
      <c r="AK30" s="263">
        <f t="shared" si="20"/>
        <v>0</v>
      </c>
      <c r="AM30" s="64">
        <f t="shared" si="3"/>
        <v>0</v>
      </c>
      <c r="AN30" s="64">
        <f t="shared" si="4"/>
        <v>0</v>
      </c>
      <c r="AO30" s="64">
        <f t="shared" si="5"/>
        <v>0</v>
      </c>
    </row>
    <row r="31" spans="1:41" s="1" customFormat="1">
      <c r="A31" s="3">
        <v>5610</v>
      </c>
      <c r="B31" s="3" t="s">
        <v>60</v>
      </c>
      <c r="C31" s="46"/>
      <c r="D31" s="49">
        <f t="shared" si="37"/>
        <v>0</v>
      </c>
      <c r="E31" s="46"/>
      <c r="F31" s="49">
        <f t="shared" si="23"/>
        <v>0</v>
      </c>
      <c r="G31" s="46"/>
      <c r="H31" s="49">
        <f t="shared" si="24"/>
        <v>0</v>
      </c>
      <c r="I31" s="46"/>
      <c r="J31" s="49">
        <f t="shared" si="25"/>
        <v>0</v>
      </c>
      <c r="K31" s="21"/>
      <c r="L31" s="49">
        <f t="shared" si="26"/>
        <v>0</v>
      </c>
      <c r="M31" s="21"/>
      <c r="N31" s="49">
        <f t="shared" si="27"/>
        <v>0</v>
      </c>
      <c r="O31" s="21"/>
      <c r="P31" s="49">
        <f t="shared" si="28"/>
        <v>0</v>
      </c>
      <c r="Q31" s="46"/>
      <c r="R31" s="49">
        <f t="shared" si="38"/>
        <v>0</v>
      </c>
      <c r="S31" s="37"/>
      <c r="T31" s="49">
        <f t="shared" si="29"/>
        <v>0</v>
      </c>
      <c r="U31" s="37"/>
      <c r="V31" s="49">
        <f t="shared" si="30"/>
        <v>0</v>
      </c>
      <c r="W31" s="37"/>
      <c r="X31" s="49">
        <f t="shared" si="39"/>
        <v>0</v>
      </c>
      <c r="Y31" s="37"/>
      <c r="Z31" s="49">
        <f t="shared" si="31"/>
        <v>0</v>
      </c>
      <c r="AA31" s="105">
        <f t="shared" si="32"/>
        <v>0</v>
      </c>
      <c r="AB31" s="108">
        <f t="shared" si="33"/>
        <v>0</v>
      </c>
      <c r="AC31" s="89">
        <f t="shared" si="34"/>
        <v>0</v>
      </c>
      <c r="AD31" s="92">
        <f t="shared" si="35"/>
        <v>0</v>
      </c>
      <c r="AE31" s="309"/>
      <c r="AF31" s="309"/>
      <c r="AG31" s="64"/>
      <c r="AI31" s="271"/>
      <c r="AJ31" s="274"/>
      <c r="AK31" s="263">
        <f t="shared" si="20"/>
        <v>0</v>
      </c>
      <c r="AM31" s="64">
        <f t="shared" si="3"/>
        <v>0</v>
      </c>
      <c r="AN31" s="64">
        <f t="shared" si="4"/>
        <v>0</v>
      </c>
      <c r="AO31" s="64">
        <f t="shared" si="5"/>
        <v>0</v>
      </c>
    </row>
    <row r="32" spans="1:41" s="1" customFormat="1">
      <c r="A32" s="3">
        <v>5611</v>
      </c>
      <c r="B32" s="3" t="s">
        <v>109</v>
      </c>
      <c r="C32" s="46"/>
      <c r="D32" s="49">
        <f t="shared" si="37"/>
        <v>0</v>
      </c>
      <c r="E32" s="46"/>
      <c r="F32" s="49">
        <f t="shared" si="23"/>
        <v>0</v>
      </c>
      <c r="G32" s="46"/>
      <c r="H32" s="49">
        <f t="shared" si="24"/>
        <v>0</v>
      </c>
      <c r="I32" s="46"/>
      <c r="J32" s="49">
        <f t="shared" si="25"/>
        <v>0</v>
      </c>
      <c r="K32" s="21"/>
      <c r="L32" s="49">
        <f t="shared" si="26"/>
        <v>0</v>
      </c>
      <c r="M32" s="21"/>
      <c r="N32" s="49">
        <f t="shared" si="27"/>
        <v>0</v>
      </c>
      <c r="O32" s="21"/>
      <c r="P32" s="49">
        <f t="shared" si="28"/>
        <v>0</v>
      </c>
      <c r="Q32" s="46"/>
      <c r="R32" s="49">
        <f t="shared" si="38"/>
        <v>0</v>
      </c>
      <c r="S32" s="37"/>
      <c r="T32" s="49">
        <f t="shared" si="29"/>
        <v>0</v>
      </c>
      <c r="U32" s="37"/>
      <c r="V32" s="49">
        <f t="shared" si="30"/>
        <v>0</v>
      </c>
      <c r="W32" s="37"/>
      <c r="X32" s="49">
        <f t="shared" si="39"/>
        <v>0</v>
      </c>
      <c r="Y32" s="37"/>
      <c r="Z32" s="49">
        <f t="shared" si="31"/>
        <v>0</v>
      </c>
      <c r="AA32" s="105">
        <f t="shared" si="32"/>
        <v>0</v>
      </c>
      <c r="AB32" s="108">
        <f t="shared" si="33"/>
        <v>0</v>
      </c>
      <c r="AC32" s="89">
        <f t="shared" si="34"/>
        <v>0</v>
      </c>
      <c r="AD32" s="92">
        <f t="shared" si="35"/>
        <v>0</v>
      </c>
      <c r="AE32" s="309"/>
      <c r="AF32" s="309"/>
      <c r="AG32" s="64"/>
      <c r="AI32" s="271"/>
      <c r="AJ32" s="274"/>
      <c r="AK32" s="263">
        <f t="shared" si="20"/>
        <v>0</v>
      </c>
      <c r="AM32" s="64">
        <f t="shared" si="3"/>
        <v>0</v>
      </c>
      <c r="AN32" s="64">
        <f t="shared" si="4"/>
        <v>0</v>
      </c>
      <c r="AO32" s="64">
        <f t="shared" si="5"/>
        <v>0</v>
      </c>
    </row>
    <row r="33" spans="1:42" s="1" customFormat="1">
      <c r="A33" s="3">
        <v>5612</v>
      </c>
      <c r="B33" s="3" t="s">
        <v>61</v>
      </c>
      <c r="C33" s="46"/>
      <c r="D33" s="49">
        <f t="shared" si="37"/>
        <v>0</v>
      </c>
      <c r="E33" s="46"/>
      <c r="F33" s="49">
        <f t="shared" si="23"/>
        <v>0</v>
      </c>
      <c r="G33" s="46"/>
      <c r="H33" s="49">
        <f t="shared" si="24"/>
        <v>0</v>
      </c>
      <c r="I33" s="46"/>
      <c r="J33" s="49">
        <f t="shared" si="25"/>
        <v>0</v>
      </c>
      <c r="K33" s="21"/>
      <c r="L33" s="49">
        <f t="shared" si="26"/>
        <v>0</v>
      </c>
      <c r="M33" s="21"/>
      <c r="N33" s="49">
        <f t="shared" si="27"/>
        <v>0</v>
      </c>
      <c r="O33" s="21"/>
      <c r="P33" s="49">
        <f t="shared" si="28"/>
        <v>0</v>
      </c>
      <c r="Q33" s="46"/>
      <c r="R33" s="49">
        <f t="shared" si="38"/>
        <v>0</v>
      </c>
      <c r="S33" s="37"/>
      <c r="T33" s="49">
        <f t="shared" si="29"/>
        <v>0</v>
      </c>
      <c r="U33" s="37"/>
      <c r="V33" s="49">
        <f t="shared" si="30"/>
        <v>0</v>
      </c>
      <c r="W33" s="37"/>
      <c r="X33" s="49">
        <f t="shared" si="39"/>
        <v>0</v>
      </c>
      <c r="Y33" s="37"/>
      <c r="Z33" s="49">
        <f t="shared" si="31"/>
        <v>0</v>
      </c>
      <c r="AA33" s="105">
        <f t="shared" si="32"/>
        <v>0</v>
      </c>
      <c r="AB33" s="108">
        <f t="shared" si="33"/>
        <v>0</v>
      </c>
      <c r="AC33" s="89">
        <f t="shared" si="34"/>
        <v>0</v>
      </c>
      <c r="AD33" s="92">
        <f t="shared" si="35"/>
        <v>0</v>
      </c>
      <c r="AE33" s="309"/>
      <c r="AF33" s="309"/>
      <c r="AG33" s="64"/>
      <c r="AI33" s="271"/>
      <c r="AJ33" s="274"/>
      <c r="AK33" s="263">
        <f t="shared" si="20"/>
        <v>0</v>
      </c>
      <c r="AM33" s="64">
        <f t="shared" si="3"/>
        <v>0</v>
      </c>
      <c r="AN33" s="64">
        <f t="shared" si="4"/>
        <v>0</v>
      </c>
      <c r="AO33" s="64">
        <f t="shared" si="5"/>
        <v>0</v>
      </c>
    </row>
    <row r="34" spans="1:42" s="1" customFormat="1">
      <c r="A34" s="3">
        <v>5613</v>
      </c>
      <c r="B34" s="3" t="s">
        <v>62</v>
      </c>
      <c r="C34" s="46"/>
      <c r="D34" s="49">
        <f t="shared" si="37"/>
        <v>0</v>
      </c>
      <c r="E34" s="46"/>
      <c r="F34" s="49">
        <f t="shared" si="23"/>
        <v>0</v>
      </c>
      <c r="G34" s="46"/>
      <c r="H34" s="49">
        <f t="shared" si="24"/>
        <v>0</v>
      </c>
      <c r="I34" s="46"/>
      <c r="J34" s="49">
        <f t="shared" si="25"/>
        <v>0</v>
      </c>
      <c r="K34" s="21"/>
      <c r="L34" s="49">
        <f t="shared" si="26"/>
        <v>0</v>
      </c>
      <c r="M34" s="21"/>
      <c r="N34" s="49">
        <f t="shared" si="27"/>
        <v>0</v>
      </c>
      <c r="O34" s="21"/>
      <c r="P34" s="49">
        <f t="shared" si="28"/>
        <v>0</v>
      </c>
      <c r="Q34" s="46"/>
      <c r="R34" s="49">
        <f t="shared" si="38"/>
        <v>0</v>
      </c>
      <c r="S34" s="37"/>
      <c r="T34" s="49">
        <f t="shared" si="29"/>
        <v>0</v>
      </c>
      <c r="U34" s="37"/>
      <c r="V34" s="49">
        <f t="shared" si="30"/>
        <v>0</v>
      </c>
      <c r="W34" s="37"/>
      <c r="X34" s="49">
        <f t="shared" si="39"/>
        <v>0</v>
      </c>
      <c r="Y34" s="37"/>
      <c r="Z34" s="49">
        <f t="shared" si="31"/>
        <v>0</v>
      </c>
      <c r="AA34" s="105">
        <f t="shared" si="32"/>
        <v>0</v>
      </c>
      <c r="AB34" s="108">
        <f t="shared" si="33"/>
        <v>0</v>
      </c>
      <c r="AC34" s="89">
        <f t="shared" si="34"/>
        <v>0</v>
      </c>
      <c r="AD34" s="92">
        <f t="shared" si="35"/>
        <v>0</v>
      </c>
      <c r="AE34" s="309"/>
      <c r="AF34" s="309"/>
      <c r="AG34" s="64"/>
      <c r="AI34" s="271"/>
      <c r="AJ34" s="274"/>
      <c r="AK34" s="263">
        <f t="shared" si="20"/>
        <v>0</v>
      </c>
      <c r="AM34" s="64">
        <f t="shared" si="3"/>
        <v>0</v>
      </c>
      <c r="AN34" s="64">
        <f t="shared" si="4"/>
        <v>0</v>
      </c>
      <c r="AO34" s="64">
        <f t="shared" si="5"/>
        <v>0</v>
      </c>
    </row>
    <row r="35" spans="1:42" s="1" customFormat="1">
      <c r="A35" s="9">
        <v>5699</v>
      </c>
      <c r="B35" s="9" t="s">
        <v>110</v>
      </c>
      <c r="C35" s="59">
        <f>SUM(C22:C34)</f>
        <v>220.92759999999998</v>
      </c>
      <c r="D35" s="69">
        <f>C35/C12</f>
        <v>6.5769878836593127E-3</v>
      </c>
      <c r="E35" s="59">
        <f>SUM(E22:E34)</f>
        <v>194.08127886701345</v>
      </c>
      <c r="F35" s="69">
        <f t="shared" si="23"/>
        <v>7.4264785973931135E-3</v>
      </c>
      <c r="G35" s="59">
        <f>SUM(G22:G34)</f>
        <v>256.05991719999997</v>
      </c>
      <c r="H35" s="69">
        <f>G35/G12</f>
        <v>5.9068062988822346E-3</v>
      </c>
      <c r="I35" s="59">
        <f>SUM(I22:I34)</f>
        <v>237.80001229321024</v>
      </c>
      <c r="J35" s="69">
        <f>I35/I12</f>
        <v>6.2124816247040209E-3</v>
      </c>
      <c r="K35" s="23">
        <f>SUM(K22:K34)</f>
        <v>226.03214904399999</v>
      </c>
      <c r="L35" s="69">
        <f>K35/K12</f>
        <v>6.4564140398361202E-3</v>
      </c>
      <c r="M35" s="23">
        <f>SUM(M22:M34)</f>
        <v>278.7118424099632</v>
      </c>
      <c r="N35" s="69">
        <f>M35/M12</f>
        <v>5.6144160294322489E-3</v>
      </c>
      <c r="O35" s="23">
        <f>SUM(O22:O34)</f>
        <v>213.14434767394059</v>
      </c>
      <c r="P35" s="69">
        <f>O35/O12</f>
        <v>6.781776265460897E-3</v>
      </c>
      <c r="Q35" s="59">
        <f>SUM(Q22:Q34)</f>
        <v>240.4957535477416</v>
      </c>
      <c r="R35" s="69">
        <f>Q35/Q12</f>
        <v>6.162355024329394E-3</v>
      </c>
      <c r="S35" s="43">
        <f>SUM(S22:S34)</f>
        <v>241.53251045945319</v>
      </c>
      <c r="T35" s="69">
        <f>S35/S12</f>
        <v>6.1435852076059533E-3</v>
      </c>
      <c r="U35" s="43">
        <f>SUM(U22:U34)</f>
        <v>212.26451139983476</v>
      </c>
      <c r="V35" s="69">
        <f>U35/U12</f>
        <v>6.8067123930005352E-3</v>
      </c>
      <c r="W35" s="43">
        <f>SUM(W22:W34)</f>
        <v>214.22257616700244</v>
      </c>
      <c r="X35" s="69">
        <f>W35/W12</f>
        <v>6.7517412063413055E-3</v>
      </c>
      <c r="Y35" s="43">
        <f>SUM(Y22:Y34)</f>
        <v>272.55187466415816</v>
      </c>
      <c r="Z35" s="69">
        <f>Y35/Y12</f>
        <v>5.6863291152337604E-3</v>
      </c>
      <c r="AA35" s="114">
        <f>SUM(AA22:AA34)</f>
        <v>2807.8243737263174</v>
      </c>
      <c r="AB35" s="115">
        <f>AA35/AA12</f>
        <v>6.2868606239547802E-3</v>
      </c>
      <c r="AC35" s="98">
        <f>SUM(AC22:AC34)</f>
        <v>233.98536447719312</v>
      </c>
      <c r="AD35" s="99">
        <f>AC35/AC12</f>
        <v>6.2868606239547802E-3</v>
      </c>
      <c r="AE35" s="310"/>
      <c r="AF35" s="310"/>
      <c r="AG35" s="64"/>
      <c r="AI35" s="271"/>
      <c r="AJ35" s="274"/>
      <c r="AK35" s="263">
        <f t="shared" si="20"/>
        <v>14291.826062266955</v>
      </c>
      <c r="AM35" s="64">
        <f t="shared" si="3"/>
        <v>2807.8243737263174</v>
      </c>
      <c r="AN35" s="64">
        <f t="shared" si="4"/>
        <v>0</v>
      </c>
      <c r="AO35" s="64">
        <f t="shared" si="5"/>
        <v>1224.1233855580047</v>
      </c>
    </row>
    <row r="36" spans="1:42" s="1" customFormat="1">
      <c r="A36" s="9">
        <v>5999</v>
      </c>
      <c r="B36" s="9" t="s">
        <v>111</v>
      </c>
      <c r="C36" s="59">
        <f>C21+C35</f>
        <v>21467.235099999998</v>
      </c>
      <c r="D36" s="69">
        <f>C36/C12</f>
        <v>0.6390769878836593</v>
      </c>
      <c r="E36" s="59">
        <f>E21+E35</f>
        <v>16331.633973417238</v>
      </c>
      <c r="F36" s="69">
        <f>E36/E12</f>
        <v>0.62492647859739314</v>
      </c>
      <c r="G36" s="59">
        <f>G21+G35</f>
        <v>31151.5885251</v>
      </c>
      <c r="H36" s="69">
        <f>G36/G12</f>
        <v>0.71860680629888229</v>
      </c>
      <c r="I36" s="59">
        <f>I21+I35</f>
        <v>23418.824302506579</v>
      </c>
      <c r="J36" s="69">
        <f>I36/I12</f>
        <v>0.61181248162470403</v>
      </c>
      <c r="K36" s="23">
        <f>K21+K35</f>
        <v>18735.253593366997</v>
      </c>
      <c r="L36" s="69">
        <f>K36/K12</f>
        <v>0.53515641403983605</v>
      </c>
      <c r="M36" s="23">
        <f>M21+M35</f>
        <v>34685.705724172607</v>
      </c>
      <c r="N36" s="69">
        <f>M36/M12</f>
        <v>0.69871441602943229</v>
      </c>
      <c r="O36" s="23">
        <f>O21+O35</f>
        <v>23253.733592053341</v>
      </c>
      <c r="P36" s="69">
        <f>O36/O12</f>
        <v>0.73988177626546081</v>
      </c>
      <c r="Q36" s="59">
        <f>Q21+Q35</f>
        <v>25217.518606479582</v>
      </c>
      <c r="R36" s="69">
        <f>Q36/Q12</f>
        <v>0.64616235502432939</v>
      </c>
      <c r="S36" s="43">
        <f>S21+S35</f>
        <v>29546.625092814014</v>
      </c>
      <c r="T36" s="69">
        <f>S36/S12</f>
        <v>0.751543585207606</v>
      </c>
      <c r="U36" s="43">
        <f>U21+U35</f>
        <v>21205.72814316893</v>
      </c>
      <c r="V36" s="69">
        <f>U36/U12</f>
        <v>0.68000671239300037</v>
      </c>
      <c r="W36" s="43">
        <f>W21+W35</f>
        <v>14250.908047356414</v>
      </c>
      <c r="X36" s="69">
        <f>W36/W12</f>
        <v>0.44915174120634127</v>
      </c>
      <c r="Y36" s="43">
        <f>Y21+Y35</f>
        <v>28700.473225584225</v>
      </c>
      <c r="Z36" s="69">
        <f>Y36/Y12</f>
        <v>0.59878632911523377</v>
      </c>
      <c r="AA36" s="114">
        <f>AA21+AA35</f>
        <v>287965.22792601993</v>
      </c>
      <c r="AB36" s="115">
        <f>AA36/AA12</f>
        <v>0.64476869331882225</v>
      </c>
      <c r="AC36" s="98">
        <f>AC21+AC35</f>
        <v>23997.102327168326</v>
      </c>
      <c r="AD36" s="99">
        <f>AC36/AC12</f>
        <v>0.64476869331882225</v>
      </c>
      <c r="AE36" s="310"/>
      <c r="AF36" s="310"/>
      <c r="AG36" s="64"/>
      <c r="AI36" s="271"/>
      <c r="AJ36" s="274"/>
      <c r="AK36" s="263">
        <f t="shared" si="20"/>
        <v>1465743.0101434414</v>
      </c>
      <c r="AM36" s="64">
        <f t="shared" si="3"/>
        <v>287965.22792601993</v>
      </c>
      <c r="AN36" s="64">
        <f t="shared" si="4"/>
        <v>0</v>
      </c>
      <c r="AO36" s="64">
        <f t="shared" si="5"/>
        <v>128357.16970698106</v>
      </c>
      <c r="AP36" s="168">
        <v>186556.25692482557</v>
      </c>
    </row>
    <row r="37" spans="1:42" s="1" customFormat="1" ht="15.75" thickBot="1">
      <c r="A37" s="10"/>
      <c r="B37" s="10" t="s">
        <v>68</v>
      </c>
      <c r="C37" s="60">
        <f>(C16-C36)</f>
        <v>12123.764900000002</v>
      </c>
      <c r="D37" s="84">
        <f>C37/C12</f>
        <v>0.36092301211634076</v>
      </c>
      <c r="E37" s="60">
        <f>(E16-E36)</f>
        <v>9802.0546007531648</v>
      </c>
      <c r="F37" s="70">
        <f>E37/E12</f>
        <v>0.37507352140260686</v>
      </c>
      <c r="G37" s="60">
        <f>(G16-G36)</f>
        <v>12198.388474899999</v>
      </c>
      <c r="H37" s="84">
        <f>G37/G12</f>
        <v>0.28139319370111776</v>
      </c>
      <c r="I37" s="60">
        <f>(I16-I36)</f>
        <v>14858.956890051824</v>
      </c>
      <c r="J37" s="70">
        <f>I37/I12</f>
        <v>0.38818751837529597</v>
      </c>
      <c r="K37" s="24">
        <f>(K16-K36)</f>
        <v>16273.676696633</v>
      </c>
      <c r="L37" s="70">
        <f>K37/K12</f>
        <v>0.4648435859601639</v>
      </c>
      <c r="M37" s="24">
        <f>(M16-M36)</f>
        <v>14956.472723039398</v>
      </c>
      <c r="N37" s="70">
        <f>M37/M12</f>
        <v>0.30128558397056771</v>
      </c>
      <c r="O37" s="24">
        <f>(O16-O36)</f>
        <v>8175.2518729301555</v>
      </c>
      <c r="P37" s="70">
        <f>O37/O12</f>
        <v>0.26011822373453913</v>
      </c>
      <c r="Q37" s="60">
        <f>(Q16-Q36)</f>
        <v>13809.079601226422</v>
      </c>
      <c r="R37" s="84">
        <f>Q37/Q12</f>
        <v>0.35383764497567066</v>
      </c>
      <c r="S37" s="60">
        <f>(S16-S36)</f>
        <v>9767.9611459229855</v>
      </c>
      <c r="T37" s="70">
        <f>S37/S12</f>
        <v>0.248456414792394</v>
      </c>
      <c r="U37" s="44">
        <f>(U16-U36)</f>
        <v>9978.8583567851711</v>
      </c>
      <c r="V37" s="70">
        <f>U37/U12</f>
        <v>0.31999328760699963</v>
      </c>
      <c r="W37" s="44">
        <f>(W16-W36)</f>
        <v>17477.585332366489</v>
      </c>
      <c r="X37" s="70">
        <f>W37/W12</f>
        <v>0.55084825879365873</v>
      </c>
      <c r="Y37" s="44">
        <f>(Y16-Y36)</f>
        <v>19230.603070015277</v>
      </c>
      <c r="Z37" s="70">
        <f>Y37/Y12</f>
        <v>0.40121367088476617</v>
      </c>
      <c r="AA37" s="109">
        <f>(AA16-AA36)</f>
        <v>158652.65366462391</v>
      </c>
      <c r="AB37" s="110">
        <f>AA37/AA12</f>
        <v>0.35523130668117769</v>
      </c>
      <c r="AC37" s="93">
        <f>(AC16-AC36)</f>
        <v>13221.054472051994</v>
      </c>
      <c r="AD37" s="94">
        <f>AC37/AC12</f>
        <v>0.35523130668117775</v>
      </c>
      <c r="AE37" s="310"/>
      <c r="AF37" s="310"/>
      <c r="AG37" s="64">
        <v>36.5</v>
      </c>
      <c r="AH37" s="1" t="s">
        <v>162</v>
      </c>
      <c r="AI37" s="271"/>
      <c r="AJ37" s="274"/>
      <c r="AK37" s="263">
        <f t="shared" si="20"/>
        <v>807542.00715293561</v>
      </c>
      <c r="AM37" s="64">
        <f t="shared" si="3"/>
        <v>158652.65366462391</v>
      </c>
      <c r="AN37" s="64">
        <f t="shared" si="4"/>
        <v>0</v>
      </c>
      <c r="AO37" s="64">
        <f t="shared" si="5"/>
        <v>70288.215170242489</v>
      </c>
      <c r="AP37" s="64">
        <f>AP36/AB37</f>
        <v>525168.3999019292</v>
      </c>
    </row>
    <row r="38" spans="1:42" s="1" customFormat="1" ht="15.75" thickTop="1">
      <c r="A38" s="2">
        <v>6002</v>
      </c>
      <c r="B38" s="2" t="s">
        <v>45</v>
      </c>
      <c r="C38" s="46"/>
      <c r="D38" s="49">
        <f>C38/C$12</f>
        <v>0</v>
      </c>
      <c r="E38" s="46"/>
      <c r="F38" s="49">
        <f>E38/E$12</f>
        <v>0</v>
      </c>
      <c r="G38" s="46"/>
      <c r="H38" s="49">
        <f>G38/G$12</f>
        <v>0</v>
      </c>
      <c r="I38" s="46"/>
      <c r="J38" s="49">
        <f>I38/I$12</f>
        <v>0</v>
      </c>
      <c r="K38" s="21"/>
      <c r="L38" s="49">
        <f>K38/K$12</f>
        <v>0</v>
      </c>
      <c r="M38" s="21"/>
      <c r="N38" s="49">
        <f>M38/M$12</f>
        <v>0</v>
      </c>
      <c r="O38" s="21"/>
      <c r="P38" s="49">
        <f>O38/O12</f>
        <v>0</v>
      </c>
      <c r="Q38" s="46">
        <v>0</v>
      </c>
      <c r="R38" s="49">
        <f>Q38/Q$12</f>
        <v>0</v>
      </c>
      <c r="S38" s="37"/>
      <c r="T38" s="49">
        <f>S38/S$12</f>
        <v>0</v>
      </c>
      <c r="U38" s="37"/>
      <c r="V38" s="49">
        <f>U38/U12</f>
        <v>0</v>
      </c>
      <c r="W38" s="37"/>
      <c r="X38" s="49">
        <f>W38/W$12</f>
        <v>0</v>
      </c>
      <c r="Y38" s="37"/>
      <c r="Z38" s="49">
        <f>Y38/Y$12</f>
        <v>0</v>
      </c>
      <c r="AA38" s="105">
        <f>C38+E38+G38+I38+K38+M38+O38+Q38+S38+U38+W38+Y38</f>
        <v>0</v>
      </c>
      <c r="AB38" s="108">
        <f>AA38/AA$12</f>
        <v>0</v>
      </c>
      <c r="AC38" s="89">
        <f t="shared" ref="AC38:AC40" si="40">AA38/12</f>
        <v>0</v>
      </c>
      <c r="AD38" s="92">
        <f>AC38/AC$12</f>
        <v>0</v>
      </c>
      <c r="AE38" s="309"/>
      <c r="AF38" s="309"/>
      <c r="AG38" s="64"/>
      <c r="AI38" s="271"/>
      <c r="AJ38" s="274"/>
      <c r="AK38" s="263">
        <f t="shared" si="20"/>
        <v>0</v>
      </c>
      <c r="AM38" s="64">
        <f t="shared" si="3"/>
        <v>0</v>
      </c>
      <c r="AN38" s="64">
        <f t="shared" si="4"/>
        <v>0</v>
      </c>
      <c r="AO38" s="64">
        <f t="shared" si="5"/>
        <v>0</v>
      </c>
    </row>
    <row r="39" spans="1:42" s="1" customFormat="1">
      <c r="A39" s="2">
        <v>6003</v>
      </c>
      <c r="B39" s="2" t="s">
        <v>0</v>
      </c>
      <c r="C39" s="46"/>
      <c r="D39" s="49">
        <f>C39/C$12</f>
        <v>0</v>
      </c>
      <c r="E39" s="46"/>
      <c r="F39" s="49">
        <f>E39/E$12</f>
        <v>0</v>
      </c>
      <c r="G39" s="46"/>
      <c r="H39" s="49">
        <f>G39/G$12</f>
        <v>0</v>
      </c>
      <c r="I39" s="46"/>
      <c r="J39" s="49">
        <f>I39/I$12</f>
        <v>0</v>
      </c>
      <c r="K39" s="21">
        <v>0</v>
      </c>
      <c r="L39" s="49">
        <f>K39/K$12</f>
        <v>0</v>
      </c>
      <c r="M39" s="21"/>
      <c r="N39" s="49">
        <f>M39/M$12</f>
        <v>0</v>
      </c>
      <c r="O39" s="21"/>
      <c r="P39" s="49">
        <f t="shared" ref="P39" si="41">O39/O12</f>
        <v>0</v>
      </c>
      <c r="Q39" s="46">
        <v>0</v>
      </c>
      <c r="R39" s="49">
        <f>Q39/Q$12</f>
        <v>0</v>
      </c>
      <c r="S39" s="37"/>
      <c r="T39" s="49">
        <f>S39/S$12</f>
        <v>0</v>
      </c>
      <c r="U39" s="37"/>
      <c r="V39" s="49">
        <f t="shared" ref="V39" si="42">U39/U12</f>
        <v>0</v>
      </c>
      <c r="W39" s="37"/>
      <c r="X39" s="49">
        <f>W39/W$12</f>
        <v>0</v>
      </c>
      <c r="Y39" s="37"/>
      <c r="Z39" s="49">
        <f>Y39/Y$12</f>
        <v>0</v>
      </c>
      <c r="AA39" s="105">
        <f>C39+E39+G39+I39+K39+M39+O39+Q39+S39+U39+W39+Y39</f>
        <v>0</v>
      </c>
      <c r="AB39" s="108">
        <f>AA39/AA$12</f>
        <v>0</v>
      </c>
      <c r="AC39" s="89">
        <f t="shared" si="40"/>
        <v>0</v>
      </c>
      <c r="AD39" s="92">
        <f>AC39/AC$12</f>
        <v>0</v>
      </c>
      <c r="AE39" s="309"/>
      <c r="AF39" s="309"/>
      <c r="AG39" s="64"/>
      <c r="AI39" s="271"/>
      <c r="AJ39" s="274"/>
      <c r="AK39" s="263">
        <f t="shared" si="20"/>
        <v>0</v>
      </c>
      <c r="AM39" s="64">
        <f t="shared" si="3"/>
        <v>0</v>
      </c>
      <c r="AN39" s="64">
        <f t="shared" si="4"/>
        <v>0</v>
      </c>
      <c r="AO39" s="64">
        <f t="shared" si="5"/>
        <v>0</v>
      </c>
    </row>
    <row r="40" spans="1:42" s="1" customFormat="1">
      <c r="A40" s="2">
        <v>6004</v>
      </c>
      <c r="B40" s="2" t="s">
        <v>1</v>
      </c>
      <c r="C40" s="46"/>
      <c r="D40" s="49">
        <f>C40/C$12</f>
        <v>0</v>
      </c>
      <c r="E40" s="46"/>
      <c r="F40" s="49">
        <f>E40/E$12</f>
        <v>0</v>
      </c>
      <c r="G40" s="46"/>
      <c r="H40" s="49">
        <f>G40/G$12</f>
        <v>0</v>
      </c>
      <c r="I40" s="46"/>
      <c r="J40" s="49">
        <f>I40/I$12</f>
        <v>0</v>
      </c>
      <c r="K40" s="21"/>
      <c r="L40" s="49">
        <f>K40/K$12</f>
        <v>0</v>
      </c>
      <c r="M40" s="21"/>
      <c r="N40" s="49">
        <f>M40/M$12</f>
        <v>0</v>
      </c>
      <c r="O40" s="21"/>
      <c r="P40" s="49">
        <f>O40/O16</f>
        <v>0</v>
      </c>
      <c r="Q40" s="46">
        <v>0</v>
      </c>
      <c r="R40" s="49">
        <f>Q40/Q$12</f>
        <v>0</v>
      </c>
      <c r="S40" s="37"/>
      <c r="T40" s="49">
        <f>S40/S$12</f>
        <v>0</v>
      </c>
      <c r="U40" s="37"/>
      <c r="V40" s="49">
        <f>U40/U16</f>
        <v>0</v>
      </c>
      <c r="W40" s="37"/>
      <c r="X40" s="49">
        <f>W40/W$12</f>
        <v>0</v>
      </c>
      <c r="Y40" s="37"/>
      <c r="Z40" s="49">
        <f>Y40/Y$12</f>
        <v>0</v>
      </c>
      <c r="AA40" s="105">
        <f>C40+E40+G40+I40+K40+M40+O40+Q40+S40+U40+W40+Y40</f>
        <v>0</v>
      </c>
      <c r="AB40" s="108">
        <f>AA40/AA$12</f>
        <v>0</v>
      </c>
      <c r="AC40" s="89">
        <f t="shared" si="40"/>
        <v>0</v>
      </c>
      <c r="AD40" s="92">
        <f>AC40/AC$12</f>
        <v>0</v>
      </c>
      <c r="AE40" s="309"/>
      <c r="AF40" s="309"/>
      <c r="AG40" s="64"/>
      <c r="AI40" s="271"/>
      <c r="AJ40" s="274"/>
      <c r="AK40" s="263">
        <f t="shared" si="20"/>
        <v>0</v>
      </c>
      <c r="AM40" s="64">
        <f t="shared" si="3"/>
        <v>0</v>
      </c>
      <c r="AN40" s="64">
        <f t="shared" si="4"/>
        <v>0</v>
      </c>
      <c r="AO40" s="64">
        <f t="shared" si="5"/>
        <v>0</v>
      </c>
    </row>
    <row r="41" spans="1:42" s="1" customFormat="1" ht="15.75" thickBot="1">
      <c r="A41" s="4">
        <v>6099</v>
      </c>
      <c r="B41" s="4" t="s">
        <v>112</v>
      </c>
      <c r="C41" s="56">
        <f>SUM(C38:C40)</f>
        <v>0</v>
      </c>
      <c r="D41" s="76">
        <f>C41/C12</f>
        <v>0</v>
      </c>
      <c r="E41" s="56">
        <f>SUM(E38:E40)</f>
        <v>0</v>
      </c>
      <c r="F41" s="76">
        <f>E41/E12</f>
        <v>0</v>
      </c>
      <c r="G41" s="56">
        <f>SUM(G38:G40)</f>
        <v>0</v>
      </c>
      <c r="H41" s="76">
        <f>G41/G12</f>
        <v>0</v>
      </c>
      <c r="I41" s="56">
        <f>SUM(I38:I40)</f>
        <v>0</v>
      </c>
      <c r="J41" s="76">
        <f>I41/I12</f>
        <v>0</v>
      </c>
      <c r="K41" s="22">
        <f>SUM(K38:K40)</f>
        <v>0</v>
      </c>
      <c r="L41" s="76">
        <f>K41/K12</f>
        <v>0</v>
      </c>
      <c r="M41" s="22">
        <f>SUM(M38:M40)</f>
        <v>0</v>
      </c>
      <c r="N41" s="76">
        <f>M41/M12</f>
        <v>0</v>
      </c>
      <c r="O41" s="22">
        <f>SUM(O38:O40)</f>
        <v>0</v>
      </c>
      <c r="P41" s="76">
        <f>O41/O12</f>
        <v>0</v>
      </c>
      <c r="Q41" s="56">
        <f>SUM(Q38:Q40)</f>
        <v>0</v>
      </c>
      <c r="R41" s="76">
        <f>Q41/Q12</f>
        <v>0</v>
      </c>
      <c r="S41" s="38">
        <f>SUM(S38:S40)</f>
        <v>0</v>
      </c>
      <c r="T41" s="76">
        <f>S41/S12</f>
        <v>0</v>
      </c>
      <c r="U41" s="38">
        <f>SUM(U38:U40)</f>
        <v>0</v>
      </c>
      <c r="V41" s="76">
        <f>U41/U12</f>
        <v>0</v>
      </c>
      <c r="W41" s="38">
        <f>SUM(W38:W40)</f>
        <v>0</v>
      </c>
      <c r="X41" s="76">
        <f>W41/W12</f>
        <v>0</v>
      </c>
      <c r="Y41" s="38">
        <f>SUM(Y38:Y40)</f>
        <v>0</v>
      </c>
      <c r="Z41" s="76">
        <f>Y41/Y12</f>
        <v>0</v>
      </c>
      <c r="AA41" s="109">
        <f>SUM(AA38:AA40)</f>
        <v>0</v>
      </c>
      <c r="AB41" s="76">
        <f>AA41/AA12</f>
        <v>0</v>
      </c>
      <c r="AC41" s="93">
        <f>SUM(AC38:AC40)</f>
        <v>0</v>
      </c>
      <c r="AD41" s="76">
        <f>AC41/AC12</f>
        <v>0</v>
      </c>
      <c r="AE41" s="311"/>
      <c r="AF41" s="311"/>
      <c r="AG41" s="64"/>
      <c r="AI41" s="271"/>
      <c r="AJ41" s="274"/>
      <c r="AK41" s="263">
        <f t="shared" si="20"/>
        <v>0</v>
      </c>
      <c r="AM41" s="64">
        <f t="shared" si="3"/>
        <v>0</v>
      </c>
      <c r="AN41" s="64">
        <f t="shared" si="4"/>
        <v>0</v>
      </c>
      <c r="AO41" s="64">
        <f t="shared" si="5"/>
        <v>0</v>
      </c>
    </row>
    <row r="42" spans="1:42" s="1" customFormat="1" ht="15.75" thickTop="1">
      <c r="A42" s="128">
        <v>6101</v>
      </c>
      <c r="B42" s="128" t="s">
        <v>2</v>
      </c>
      <c r="C42" s="46">
        <f>C16*5%</f>
        <v>1679.5500000000002</v>
      </c>
      <c r="D42" s="49">
        <f t="shared" ref="D42:D50" si="43">C42/C$12</f>
        <v>0.05</v>
      </c>
      <c r="E42" s="46">
        <f>E16*5%</f>
        <v>1306.6844287085203</v>
      </c>
      <c r="F42" s="49">
        <f t="shared" ref="F42:F50" si="44">E42/E$12</f>
        <v>0.05</v>
      </c>
      <c r="G42" s="46">
        <f>G16*5%</f>
        <v>2167.4988499999999</v>
      </c>
      <c r="H42" s="49">
        <f t="shared" ref="H42:H50" si="45">G42/G$12</f>
        <v>0.05</v>
      </c>
      <c r="I42" s="46">
        <f>I16*5%</f>
        <v>1913.8890596279202</v>
      </c>
      <c r="J42" s="49">
        <f t="shared" ref="J42:J50" si="46">I42/I$12</f>
        <v>0.05</v>
      </c>
      <c r="K42" s="46">
        <f>K16*5%</f>
        <v>1750.4465144999999</v>
      </c>
      <c r="L42" s="49">
        <f t="shared" ref="L42:L50" si="47">K42/K$12</f>
        <v>0.05</v>
      </c>
      <c r="M42" s="46">
        <f>M16*5%</f>
        <v>2482.1089223606004</v>
      </c>
      <c r="N42" s="49">
        <f t="shared" ref="N42:N50" si="48">M42/M$12</f>
        <v>0.05</v>
      </c>
      <c r="O42" s="46">
        <f>O16*5%</f>
        <v>1571.4492732491749</v>
      </c>
      <c r="P42" s="49">
        <f t="shared" ref="P42:P50" si="49">O42/O$12</f>
        <v>0.05</v>
      </c>
      <c r="Q42" s="46">
        <f>Q16*5%</f>
        <v>1951.3299103853003</v>
      </c>
      <c r="R42" s="49">
        <f t="shared" ref="R42:R56" si="50">Q42/Q$12</f>
        <v>0.05</v>
      </c>
      <c r="S42" s="46">
        <f>S16*5%</f>
        <v>1965.7293119368501</v>
      </c>
      <c r="T42" s="49">
        <f t="shared" ref="T42:T50" si="51">S42/S$12</f>
        <v>0.05</v>
      </c>
      <c r="U42" s="46">
        <f>U16*5%</f>
        <v>1559.2293249977051</v>
      </c>
      <c r="V42" s="49">
        <f t="shared" ref="V42:V50" si="52">U42/U$12</f>
        <v>0.05</v>
      </c>
      <c r="W42" s="46">
        <f>W16*5%</f>
        <v>1586.4246689861452</v>
      </c>
      <c r="X42" s="49">
        <f t="shared" ref="X42:X50" si="53">W42/W$12</f>
        <v>0.05</v>
      </c>
      <c r="Y42" s="46">
        <f>Y16*5%</f>
        <v>2396.5538147799753</v>
      </c>
      <c r="Z42" s="49">
        <f t="shared" ref="Z42:Z50" si="54">Y42/Y$12</f>
        <v>0.05</v>
      </c>
      <c r="AA42" s="105">
        <f t="shared" ref="AA42:AA75" si="55">C42+E42+G42+I42+K42+M42+O42+Q42+S42+U42+W42+Y42</f>
        <v>22330.894079532191</v>
      </c>
      <c r="AB42" s="108">
        <f t="shared" ref="AB42:AB50" si="56">AA42/AA$12</f>
        <v>4.9999999999999996E-2</v>
      </c>
      <c r="AC42" s="89">
        <f t="shared" ref="AC42:AC75" si="57">AA42/12</f>
        <v>1860.907839961016</v>
      </c>
      <c r="AD42" s="92">
        <f t="shared" ref="AD42:AD50" si="58">AC42/AC$12</f>
        <v>4.9999999999999996E-2</v>
      </c>
      <c r="AE42" s="309"/>
      <c r="AF42" s="309"/>
      <c r="AG42" s="229" t="s">
        <v>221</v>
      </c>
      <c r="AI42" s="271"/>
      <c r="AJ42" s="274"/>
      <c r="AK42" s="263">
        <f t="shared" si="20"/>
        <v>113664.25086481885</v>
      </c>
      <c r="AM42" s="64">
        <f t="shared" si="3"/>
        <v>22330.894079532191</v>
      </c>
      <c r="AN42" s="64">
        <f t="shared" si="4"/>
        <v>0</v>
      </c>
      <c r="AO42" s="64">
        <f t="shared" si="5"/>
        <v>9932.2692438611775</v>
      </c>
      <c r="AP42" s="289" t="s">
        <v>256</v>
      </c>
    </row>
    <row r="43" spans="1:42" s="1" customFormat="1">
      <c r="A43" s="128">
        <v>6102</v>
      </c>
      <c r="B43" s="128" t="s">
        <v>3</v>
      </c>
      <c r="C43" s="55">
        <f>1147.84*1.15</f>
        <v>1320.0159999999998</v>
      </c>
      <c r="D43" s="49">
        <f t="shared" si="43"/>
        <v>3.9296716382364316E-2</v>
      </c>
      <c r="E43" s="55">
        <f>1160.76*1.15</f>
        <v>1334.8739999999998</v>
      </c>
      <c r="F43" s="49">
        <f t="shared" si="44"/>
        <v>5.1078667912165344E-2</v>
      </c>
      <c r="G43" s="302">
        <f>1028.81*1.15</f>
        <v>1183.1314999999997</v>
      </c>
      <c r="H43" s="49">
        <f t="shared" si="45"/>
        <v>2.7292551966059862E-2</v>
      </c>
      <c r="I43" s="302">
        <f>1028.81*1.15</f>
        <v>1183.1314999999997</v>
      </c>
      <c r="J43" s="49">
        <f t="shared" si="46"/>
        <v>3.090909303358505E-2</v>
      </c>
      <c r="K43" s="25">
        <f>1123.99*1.15</f>
        <v>1292.5884999999998</v>
      </c>
      <c r="L43" s="49">
        <f t="shared" si="47"/>
        <v>3.6921679391307104E-2</v>
      </c>
      <c r="M43" s="329">
        <f>1297.26*1.15</f>
        <v>1491.8489999999999</v>
      </c>
      <c r="N43" s="49">
        <f t="shared" si="48"/>
        <v>3.0052045390924719E-2</v>
      </c>
      <c r="O43" s="25">
        <f>3697.99*1.15</f>
        <v>4252.6884999999993</v>
      </c>
      <c r="P43" s="49">
        <f t="shared" si="49"/>
        <v>0.13531103333698502</v>
      </c>
      <c r="Q43" s="55">
        <f>2010.34*1.15</f>
        <v>2311.8909999999996</v>
      </c>
      <c r="R43" s="49">
        <f t="shared" si="50"/>
        <v>5.9238855195519059E-2</v>
      </c>
      <c r="S43" s="55">
        <f>2010.34*1.15</f>
        <v>2311.8909999999996</v>
      </c>
      <c r="T43" s="49">
        <f t="shared" si="51"/>
        <v>5.8804917491973335E-2</v>
      </c>
      <c r="U43" s="55">
        <f>2010.34*1.15</f>
        <v>2311.8909999999996</v>
      </c>
      <c r="V43" s="49">
        <f t="shared" si="52"/>
        <v>7.4135695209663996E-2</v>
      </c>
      <c r="W43" s="55">
        <f>2010.34*1.15</f>
        <v>2311.8909999999996</v>
      </c>
      <c r="X43" s="49">
        <f t="shared" si="53"/>
        <v>7.2864821292696072E-2</v>
      </c>
      <c r="Y43" s="55">
        <f>2010.34*1.15</f>
        <v>2311.8909999999996</v>
      </c>
      <c r="Z43" s="49">
        <f t="shared" si="54"/>
        <v>4.8233655045468941E-2</v>
      </c>
      <c r="AA43" s="105">
        <f t="shared" si="55"/>
        <v>23617.733999999997</v>
      </c>
      <c r="AB43" s="108">
        <f t="shared" si="56"/>
        <v>5.2881299593031707E-2</v>
      </c>
      <c r="AC43" s="89">
        <f t="shared" si="57"/>
        <v>1968.1444999999997</v>
      </c>
      <c r="AD43" s="92">
        <f t="shared" si="58"/>
        <v>5.2881299593031707E-2</v>
      </c>
      <c r="AE43" s="309" t="s">
        <v>280</v>
      </c>
      <c r="AF43" s="309"/>
      <c r="AG43" s="64" t="s">
        <v>279</v>
      </c>
      <c r="AI43" s="271"/>
      <c r="AJ43" s="274"/>
      <c r="AK43" s="263">
        <f t="shared" ref="AK43:AK80" si="59">C43*5.09+E43*5.09+G43*5.09+I43*5.09+K43*5.09+M43*5.09+O43*5.09+Q43*5.09+S43*5.09+U43*5.09+W43*5.09+Y43*5.09</f>
        <v>120214.26605999999</v>
      </c>
      <c r="AM43" s="64">
        <f t="shared" si="3"/>
        <v>23617.733999999997</v>
      </c>
      <c r="AN43" s="64">
        <f t="shared" si="4"/>
        <v>0</v>
      </c>
      <c r="AO43" s="64">
        <f t="shared" si="5"/>
        <v>11767.525189999998</v>
      </c>
    </row>
    <row r="44" spans="1:42" s="1" customFormat="1">
      <c r="A44" s="128">
        <v>6103</v>
      </c>
      <c r="B44" s="128" t="s">
        <v>4</v>
      </c>
      <c r="C44" s="46"/>
      <c r="D44" s="49">
        <f t="shared" si="43"/>
        <v>0</v>
      </c>
      <c r="E44" s="46">
        <v>0</v>
      </c>
      <c r="F44" s="49">
        <f t="shared" si="44"/>
        <v>0</v>
      </c>
      <c r="G44" s="289"/>
      <c r="H44" s="49">
        <f t="shared" si="45"/>
        <v>0</v>
      </c>
      <c r="I44" s="46"/>
      <c r="J44" s="49">
        <f t="shared" si="46"/>
        <v>0</v>
      </c>
      <c r="K44" s="21">
        <v>0</v>
      </c>
      <c r="L44" s="49">
        <f t="shared" si="47"/>
        <v>0</v>
      </c>
      <c r="M44" s="21"/>
      <c r="N44" s="49">
        <f t="shared" si="48"/>
        <v>0</v>
      </c>
      <c r="O44" s="21"/>
      <c r="P44" s="49">
        <f t="shared" si="49"/>
        <v>0</v>
      </c>
      <c r="Q44" s="46"/>
      <c r="R44" s="49">
        <f t="shared" si="50"/>
        <v>0</v>
      </c>
      <c r="S44" s="21"/>
      <c r="T44" s="49">
        <f t="shared" si="51"/>
        <v>0</v>
      </c>
      <c r="U44" s="21"/>
      <c r="V44" s="49">
        <f t="shared" si="52"/>
        <v>0</v>
      </c>
      <c r="W44" s="21"/>
      <c r="X44" s="49">
        <f t="shared" si="53"/>
        <v>0</v>
      </c>
      <c r="Y44" s="21"/>
      <c r="Z44" s="49">
        <f t="shared" si="54"/>
        <v>0</v>
      </c>
      <c r="AA44" s="105">
        <f t="shared" si="55"/>
        <v>0</v>
      </c>
      <c r="AB44" s="108">
        <f t="shared" si="56"/>
        <v>0</v>
      </c>
      <c r="AC44" s="89">
        <f t="shared" si="57"/>
        <v>0</v>
      </c>
      <c r="AD44" s="92">
        <f t="shared" si="58"/>
        <v>0</v>
      </c>
      <c r="AE44" s="309"/>
      <c r="AF44" s="309"/>
      <c r="AG44" s="64"/>
      <c r="AI44" s="271"/>
      <c r="AJ44" s="274"/>
      <c r="AK44" s="263">
        <f t="shared" si="59"/>
        <v>0</v>
      </c>
      <c r="AM44" s="64">
        <f t="shared" si="3"/>
        <v>0</v>
      </c>
      <c r="AN44" s="64">
        <f t="shared" si="4"/>
        <v>0</v>
      </c>
      <c r="AO44" s="64">
        <f t="shared" si="5"/>
        <v>0</v>
      </c>
    </row>
    <row r="45" spans="1:42" s="1" customFormat="1">
      <c r="A45" s="128">
        <v>6104</v>
      </c>
      <c r="B45" s="128" t="s">
        <v>5</v>
      </c>
      <c r="C45" s="55">
        <v>275</v>
      </c>
      <c r="D45" s="49">
        <f t="shared" si="43"/>
        <v>8.1867166800631119E-3</v>
      </c>
      <c r="E45" s="55">
        <v>275</v>
      </c>
      <c r="F45" s="49">
        <f t="shared" si="44"/>
        <v>1.0522816142831062E-2</v>
      </c>
      <c r="G45" s="55">
        <v>275</v>
      </c>
      <c r="H45" s="49">
        <f t="shared" si="45"/>
        <v>6.3437173219261459E-3</v>
      </c>
      <c r="I45" s="55">
        <v>275</v>
      </c>
      <c r="J45" s="49">
        <f t="shared" si="46"/>
        <v>7.1843244679360577E-3</v>
      </c>
      <c r="K45" s="55">
        <v>275</v>
      </c>
      <c r="L45" s="49">
        <f t="shared" si="47"/>
        <v>7.8551386095493305E-3</v>
      </c>
      <c r="M45" s="55">
        <v>275</v>
      </c>
      <c r="N45" s="49">
        <f t="shared" si="48"/>
        <v>5.5396440809386861E-3</v>
      </c>
      <c r="O45" s="55">
        <v>275</v>
      </c>
      <c r="P45" s="49">
        <f t="shared" si="49"/>
        <v>8.7498847300174661E-3</v>
      </c>
      <c r="Q45" s="55">
        <v>275</v>
      </c>
      <c r="R45" s="49">
        <f t="shared" si="50"/>
        <v>7.0464763169058335E-3</v>
      </c>
      <c r="S45" s="55">
        <v>275</v>
      </c>
      <c r="T45" s="49">
        <f t="shared" si="51"/>
        <v>6.9948593209163707E-3</v>
      </c>
      <c r="U45" s="55">
        <v>275</v>
      </c>
      <c r="V45" s="49">
        <f t="shared" si="52"/>
        <v>8.8184590807514722E-3</v>
      </c>
      <c r="W45" s="55">
        <v>275</v>
      </c>
      <c r="X45" s="49">
        <f t="shared" si="53"/>
        <v>8.6672883174385915E-3</v>
      </c>
      <c r="Y45" s="55">
        <v>275</v>
      </c>
      <c r="Z45" s="49">
        <f t="shared" si="54"/>
        <v>5.7374050668928429E-3</v>
      </c>
      <c r="AA45" s="105">
        <f t="shared" si="55"/>
        <v>3300</v>
      </c>
      <c r="AB45" s="108">
        <f t="shared" si="56"/>
        <v>7.3888667158756487E-3</v>
      </c>
      <c r="AC45" s="89">
        <f t="shared" si="57"/>
        <v>275</v>
      </c>
      <c r="AD45" s="92">
        <f t="shared" si="58"/>
        <v>7.3888667158756487E-3</v>
      </c>
      <c r="AE45" s="309" t="s">
        <v>281</v>
      </c>
      <c r="AF45" s="309">
        <v>2105</v>
      </c>
      <c r="AG45" s="229" t="s">
        <v>185</v>
      </c>
      <c r="AI45" s="271" t="s">
        <v>203</v>
      </c>
      <c r="AJ45" s="274"/>
      <c r="AK45" s="263">
        <f t="shared" si="59"/>
        <v>16797</v>
      </c>
      <c r="AM45" s="64">
        <f t="shared" si="3"/>
        <v>3300</v>
      </c>
      <c r="AN45" s="64">
        <f t="shared" si="4"/>
        <v>0</v>
      </c>
      <c r="AO45" s="64">
        <f t="shared" si="5"/>
        <v>1399.75</v>
      </c>
    </row>
    <row r="46" spans="1:42" s="1" customFormat="1">
      <c r="A46" s="128">
        <v>6105</v>
      </c>
      <c r="B46" s="2" t="s">
        <v>39</v>
      </c>
      <c r="C46" s="55">
        <v>250</v>
      </c>
      <c r="D46" s="49">
        <f t="shared" si="43"/>
        <v>7.4424697091482837E-3</v>
      </c>
      <c r="E46" s="55">
        <v>250</v>
      </c>
      <c r="F46" s="49">
        <f t="shared" si="44"/>
        <v>9.5661964934827832E-3</v>
      </c>
      <c r="G46" s="55">
        <v>250</v>
      </c>
      <c r="H46" s="49">
        <f t="shared" si="45"/>
        <v>5.7670157472055868E-3</v>
      </c>
      <c r="I46" s="55">
        <v>250</v>
      </c>
      <c r="J46" s="49">
        <f t="shared" si="46"/>
        <v>6.5312040617600525E-3</v>
      </c>
      <c r="K46" s="55">
        <v>250</v>
      </c>
      <c r="L46" s="49">
        <f t="shared" si="47"/>
        <v>7.1410350995903E-3</v>
      </c>
      <c r="M46" s="55">
        <v>250</v>
      </c>
      <c r="N46" s="49">
        <f t="shared" si="48"/>
        <v>5.0360400735806237E-3</v>
      </c>
      <c r="O46" s="55">
        <v>250</v>
      </c>
      <c r="P46" s="49">
        <f t="shared" si="49"/>
        <v>7.9544406636522427E-3</v>
      </c>
      <c r="Q46" s="55">
        <v>250</v>
      </c>
      <c r="R46" s="49">
        <f t="shared" si="50"/>
        <v>6.4058875608234847E-3</v>
      </c>
      <c r="S46" s="55">
        <v>250</v>
      </c>
      <c r="T46" s="49">
        <f t="shared" si="51"/>
        <v>6.358963019014883E-3</v>
      </c>
      <c r="U46" s="55">
        <v>250</v>
      </c>
      <c r="V46" s="49">
        <f t="shared" si="52"/>
        <v>8.0167809825013384E-3</v>
      </c>
      <c r="W46" s="55">
        <v>250</v>
      </c>
      <c r="X46" s="49">
        <f t="shared" si="53"/>
        <v>7.8793530158532653E-3</v>
      </c>
      <c r="Y46" s="55">
        <v>250</v>
      </c>
      <c r="Z46" s="49">
        <f t="shared" si="54"/>
        <v>5.2158227880844026E-3</v>
      </c>
      <c r="AA46" s="105">
        <f t="shared" si="55"/>
        <v>3000</v>
      </c>
      <c r="AB46" s="108">
        <f t="shared" si="56"/>
        <v>6.7171515598869538E-3</v>
      </c>
      <c r="AC46" s="89">
        <f t="shared" si="57"/>
        <v>250</v>
      </c>
      <c r="AD46" s="92">
        <f t="shared" si="58"/>
        <v>6.7171515598869538E-3</v>
      </c>
      <c r="AE46" s="309" t="s">
        <v>280</v>
      </c>
      <c r="AF46" s="309"/>
      <c r="AG46" s="64">
        <v>1092</v>
      </c>
      <c r="AH46" s="289" t="s">
        <v>203</v>
      </c>
      <c r="AI46" s="271"/>
      <c r="AJ46" s="274"/>
      <c r="AK46" s="263">
        <f t="shared" si="59"/>
        <v>15270</v>
      </c>
      <c r="AM46" s="64">
        <f t="shared" si="3"/>
        <v>3000</v>
      </c>
      <c r="AN46" s="64">
        <f t="shared" si="4"/>
        <v>0</v>
      </c>
      <c r="AO46" s="64">
        <f t="shared" si="5"/>
        <v>1272.5</v>
      </c>
    </row>
    <row r="47" spans="1:42" s="1" customFormat="1">
      <c r="A47" s="128">
        <v>6106</v>
      </c>
      <c r="B47" s="128" t="s">
        <v>6</v>
      </c>
      <c r="C47" s="55">
        <v>150</v>
      </c>
      <c r="D47" s="49">
        <f t="shared" si="43"/>
        <v>4.46548182548897E-3</v>
      </c>
      <c r="E47" s="55">
        <v>150</v>
      </c>
      <c r="F47" s="49">
        <f t="shared" si="44"/>
        <v>5.7397178960896704E-3</v>
      </c>
      <c r="G47" s="55">
        <v>150</v>
      </c>
      <c r="H47" s="49">
        <f t="shared" si="45"/>
        <v>3.4602094483233521E-3</v>
      </c>
      <c r="I47" s="55">
        <v>150</v>
      </c>
      <c r="J47" s="49">
        <f t="shared" si="46"/>
        <v>3.9187224370560315E-3</v>
      </c>
      <c r="K47" s="55">
        <v>150</v>
      </c>
      <c r="L47" s="49">
        <f t="shared" si="47"/>
        <v>4.2846210597541796E-3</v>
      </c>
      <c r="M47" s="55">
        <v>150</v>
      </c>
      <c r="N47" s="49">
        <f t="shared" si="48"/>
        <v>3.0216240441483743E-3</v>
      </c>
      <c r="O47" s="55">
        <v>150</v>
      </c>
      <c r="P47" s="49">
        <f t="shared" si="49"/>
        <v>4.7726643981913456E-3</v>
      </c>
      <c r="Q47" s="55">
        <v>150</v>
      </c>
      <c r="R47" s="49">
        <f t="shared" si="50"/>
        <v>3.8435325364940911E-3</v>
      </c>
      <c r="S47" s="55">
        <v>150</v>
      </c>
      <c r="T47" s="49">
        <f t="shared" si="51"/>
        <v>3.8153778114089296E-3</v>
      </c>
      <c r="U47" s="55">
        <v>150</v>
      </c>
      <c r="V47" s="49">
        <f t="shared" si="52"/>
        <v>4.810068589500803E-3</v>
      </c>
      <c r="W47" s="55">
        <v>150</v>
      </c>
      <c r="X47" s="49">
        <f t="shared" si="53"/>
        <v>4.7276118095119588E-3</v>
      </c>
      <c r="Y47" s="55">
        <v>150</v>
      </c>
      <c r="Z47" s="49">
        <f t="shared" si="54"/>
        <v>3.1294936728506412E-3</v>
      </c>
      <c r="AA47" s="105">
        <f t="shared" si="55"/>
        <v>1800</v>
      </c>
      <c r="AB47" s="108">
        <f t="shared" si="56"/>
        <v>4.0302909359321718E-3</v>
      </c>
      <c r="AC47" s="89">
        <f t="shared" si="57"/>
        <v>150</v>
      </c>
      <c r="AD47" s="92">
        <f t="shared" si="58"/>
        <v>4.0302909359321718E-3</v>
      </c>
      <c r="AE47" s="309" t="s">
        <v>280</v>
      </c>
      <c r="AF47" s="309">
        <v>811</v>
      </c>
      <c r="AG47" s="64" t="s">
        <v>282</v>
      </c>
      <c r="AI47" s="271"/>
      <c r="AJ47" s="274"/>
      <c r="AK47" s="263">
        <f t="shared" si="59"/>
        <v>9162</v>
      </c>
      <c r="AM47" s="64">
        <f t="shared" si="3"/>
        <v>1800</v>
      </c>
      <c r="AN47" s="64">
        <f t="shared" si="4"/>
        <v>0</v>
      </c>
      <c r="AO47" s="64">
        <f t="shared" si="5"/>
        <v>763.5</v>
      </c>
    </row>
    <row r="48" spans="1:42" s="1" customFormat="1">
      <c r="A48" s="128">
        <v>6107</v>
      </c>
      <c r="B48" s="128" t="s">
        <v>7</v>
      </c>
      <c r="C48" s="55"/>
      <c r="D48" s="49">
        <f t="shared" si="43"/>
        <v>0</v>
      </c>
      <c r="E48" s="55"/>
      <c r="F48" s="49">
        <f t="shared" si="44"/>
        <v>0</v>
      </c>
      <c r="G48" s="289"/>
      <c r="H48" s="49">
        <f t="shared" si="45"/>
        <v>0</v>
      </c>
      <c r="I48" s="55"/>
      <c r="J48" s="49">
        <f t="shared" si="46"/>
        <v>0</v>
      </c>
      <c r="K48" s="25"/>
      <c r="L48" s="49">
        <f t="shared" si="47"/>
        <v>0</v>
      </c>
      <c r="M48" s="25"/>
      <c r="N48" s="49">
        <f t="shared" si="48"/>
        <v>0</v>
      </c>
      <c r="O48" s="25"/>
      <c r="P48" s="49">
        <f t="shared" si="49"/>
        <v>0</v>
      </c>
      <c r="Q48" s="55"/>
      <c r="R48" s="49">
        <f t="shared" si="50"/>
        <v>0</v>
      </c>
      <c r="S48" s="25"/>
      <c r="T48" s="49">
        <f t="shared" si="51"/>
        <v>0</v>
      </c>
      <c r="U48" s="25"/>
      <c r="V48" s="49">
        <f t="shared" si="52"/>
        <v>0</v>
      </c>
      <c r="W48" s="25"/>
      <c r="X48" s="49">
        <f t="shared" si="53"/>
        <v>0</v>
      </c>
      <c r="Y48" s="25"/>
      <c r="Z48" s="49">
        <f t="shared" si="54"/>
        <v>0</v>
      </c>
      <c r="AA48" s="105">
        <f t="shared" si="55"/>
        <v>0</v>
      </c>
      <c r="AB48" s="108">
        <f t="shared" si="56"/>
        <v>0</v>
      </c>
      <c r="AC48" s="89">
        <f>AA48/12</f>
        <v>0</v>
      </c>
      <c r="AD48" s="92">
        <f t="shared" si="58"/>
        <v>0</v>
      </c>
      <c r="AE48" s="309"/>
      <c r="AF48" s="309"/>
      <c r="AG48" s="64"/>
      <c r="AI48" s="271"/>
      <c r="AJ48" s="274"/>
      <c r="AK48" s="263">
        <f t="shared" si="59"/>
        <v>0</v>
      </c>
      <c r="AM48" s="64">
        <f t="shared" si="3"/>
        <v>0</v>
      </c>
      <c r="AN48" s="64">
        <f t="shared" si="4"/>
        <v>0</v>
      </c>
      <c r="AO48" s="64">
        <f t="shared" si="5"/>
        <v>0</v>
      </c>
    </row>
    <row r="49" spans="1:41" s="1" customFormat="1">
      <c r="A49" s="128">
        <v>6108</v>
      </c>
      <c r="B49" s="128" t="s">
        <v>8</v>
      </c>
      <c r="C49" s="55"/>
      <c r="D49" s="49">
        <f t="shared" si="43"/>
        <v>0</v>
      </c>
      <c r="E49" s="55"/>
      <c r="F49" s="49">
        <f t="shared" si="44"/>
        <v>0</v>
      </c>
      <c r="G49" s="289"/>
      <c r="H49" s="49">
        <f t="shared" si="45"/>
        <v>0</v>
      </c>
      <c r="I49" s="55"/>
      <c r="J49" s="49">
        <f t="shared" si="46"/>
        <v>0</v>
      </c>
      <c r="K49" s="25"/>
      <c r="L49" s="49">
        <f t="shared" si="47"/>
        <v>0</v>
      </c>
      <c r="M49" s="25"/>
      <c r="N49" s="49">
        <f t="shared" si="48"/>
        <v>0</v>
      </c>
      <c r="O49" s="25"/>
      <c r="P49" s="49">
        <f t="shared" si="49"/>
        <v>0</v>
      </c>
      <c r="Q49" s="55"/>
      <c r="R49" s="49">
        <f t="shared" si="50"/>
        <v>0</v>
      </c>
      <c r="S49" s="25"/>
      <c r="T49" s="49">
        <f t="shared" si="51"/>
        <v>0</v>
      </c>
      <c r="U49" s="25"/>
      <c r="V49" s="49">
        <f t="shared" si="52"/>
        <v>0</v>
      </c>
      <c r="W49" s="25"/>
      <c r="X49" s="49">
        <f t="shared" si="53"/>
        <v>0</v>
      </c>
      <c r="Y49" s="25"/>
      <c r="Z49" s="49">
        <f t="shared" si="54"/>
        <v>0</v>
      </c>
      <c r="AA49" s="105">
        <f t="shared" si="55"/>
        <v>0</v>
      </c>
      <c r="AB49" s="108">
        <f t="shared" si="56"/>
        <v>0</v>
      </c>
      <c r="AC49" s="89">
        <f t="shared" si="57"/>
        <v>0</v>
      </c>
      <c r="AD49" s="92">
        <f t="shared" si="58"/>
        <v>0</v>
      </c>
      <c r="AE49" s="309"/>
      <c r="AF49" s="309"/>
      <c r="AG49" s="64"/>
      <c r="AI49" s="271"/>
      <c r="AJ49" s="274"/>
      <c r="AK49" s="263">
        <f t="shared" si="59"/>
        <v>0</v>
      </c>
      <c r="AM49" s="64">
        <f t="shared" si="3"/>
        <v>0</v>
      </c>
      <c r="AN49" s="64">
        <f t="shared" si="4"/>
        <v>0</v>
      </c>
      <c r="AO49" s="64">
        <f t="shared" si="5"/>
        <v>0</v>
      </c>
    </row>
    <row r="50" spans="1:41" s="1" customFormat="1">
      <c r="A50" s="128">
        <v>6109</v>
      </c>
      <c r="B50" s="128" t="s">
        <v>79</v>
      </c>
      <c r="C50" s="55">
        <v>0</v>
      </c>
      <c r="D50" s="49">
        <f t="shared" si="43"/>
        <v>0</v>
      </c>
      <c r="E50" s="55">
        <v>0</v>
      </c>
      <c r="F50" s="49">
        <f t="shared" si="44"/>
        <v>0</v>
      </c>
      <c r="G50" s="289"/>
      <c r="H50" s="49">
        <f t="shared" si="45"/>
        <v>0</v>
      </c>
      <c r="I50" s="55"/>
      <c r="J50" s="49">
        <f t="shared" si="46"/>
        <v>0</v>
      </c>
      <c r="K50" s="25">
        <v>0</v>
      </c>
      <c r="L50" s="49">
        <f t="shared" si="47"/>
        <v>0</v>
      </c>
      <c r="M50" s="25">
        <v>0</v>
      </c>
      <c r="N50" s="49">
        <f t="shared" si="48"/>
        <v>0</v>
      </c>
      <c r="O50" s="25">
        <v>0</v>
      </c>
      <c r="P50" s="49">
        <f t="shared" si="49"/>
        <v>0</v>
      </c>
      <c r="Q50" s="55">
        <v>0</v>
      </c>
      <c r="R50" s="49">
        <f t="shared" si="50"/>
        <v>0</v>
      </c>
      <c r="S50" s="25">
        <v>0</v>
      </c>
      <c r="T50" s="49">
        <f t="shared" si="51"/>
        <v>0</v>
      </c>
      <c r="U50" s="25">
        <v>0</v>
      </c>
      <c r="V50" s="49">
        <f t="shared" si="52"/>
        <v>0</v>
      </c>
      <c r="W50" s="25">
        <v>0</v>
      </c>
      <c r="X50" s="49">
        <f t="shared" si="53"/>
        <v>0</v>
      </c>
      <c r="Y50" s="25">
        <v>0</v>
      </c>
      <c r="Z50" s="49">
        <f t="shared" si="54"/>
        <v>0</v>
      </c>
      <c r="AA50" s="105">
        <f t="shared" si="55"/>
        <v>0</v>
      </c>
      <c r="AB50" s="108">
        <f t="shared" si="56"/>
        <v>0</v>
      </c>
      <c r="AC50" s="89">
        <f t="shared" si="57"/>
        <v>0</v>
      </c>
      <c r="AD50" s="92">
        <f t="shared" si="58"/>
        <v>0</v>
      </c>
      <c r="AE50" s="309"/>
      <c r="AF50" s="309"/>
      <c r="AG50" s="64"/>
      <c r="AI50" s="271"/>
      <c r="AJ50" s="274"/>
      <c r="AK50" s="263">
        <f t="shared" si="59"/>
        <v>0</v>
      </c>
      <c r="AM50" s="64">
        <f t="shared" si="3"/>
        <v>0</v>
      </c>
      <c r="AN50" s="64">
        <f t="shared" si="4"/>
        <v>0</v>
      </c>
      <c r="AO50" s="64">
        <f t="shared" si="5"/>
        <v>0</v>
      </c>
    </row>
    <row r="51" spans="1:41" s="1" customFormat="1">
      <c r="A51" s="128">
        <v>6110</v>
      </c>
      <c r="B51" s="128" t="s">
        <v>9</v>
      </c>
      <c r="C51" s="55"/>
      <c r="D51" s="49">
        <f t="shared" ref="D51:AD76" si="60">C51/C$12</f>
        <v>0</v>
      </c>
      <c r="E51" s="55"/>
      <c r="F51" s="49">
        <f t="shared" ref="F51:F56" si="61">E51/E$12</f>
        <v>0</v>
      </c>
      <c r="G51" s="289"/>
      <c r="H51" s="49">
        <f t="shared" ref="H51:H56" si="62">G51/G$12</f>
        <v>0</v>
      </c>
      <c r="I51" s="55"/>
      <c r="J51" s="49">
        <f t="shared" ref="J51:J56" si="63">I51/I$12</f>
        <v>0</v>
      </c>
      <c r="K51" s="25">
        <v>0</v>
      </c>
      <c r="L51" s="49">
        <f t="shared" ref="L51:L56" si="64">K51/K$12</f>
        <v>0</v>
      </c>
      <c r="M51" s="25"/>
      <c r="N51" s="49">
        <f t="shared" ref="N51:N56" si="65">M51/M$12</f>
        <v>0</v>
      </c>
      <c r="O51" s="25"/>
      <c r="P51" s="49">
        <f t="shared" ref="P51:P56" si="66">O51/O$12</f>
        <v>0</v>
      </c>
      <c r="Q51" s="55"/>
      <c r="R51" s="49">
        <f t="shared" si="50"/>
        <v>0</v>
      </c>
      <c r="S51" s="25"/>
      <c r="T51" s="49">
        <f t="shared" ref="T51:T56" si="67">S51/S$12</f>
        <v>0</v>
      </c>
      <c r="U51" s="25"/>
      <c r="V51" s="49">
        <f t="shared" ref="V51:V56" si="68">U51/U$12</f>
        <v>0</v>
      </c>
      <c r="W51" s="25"/>
      <c r="X51" s="49">
        <f t="shared" ref="X51:X56" si="69">W51/W$12</f>
        <v>0</v>
      </c>
      <c r="Y51" s="25"/>
      <c r="Z51" s="49">
        <f t="shared" ref="Z51:Z56" si="70">Y51/Y$12</f>
        <v>0</v>
      </c>
      <c r="AA51" s="105">
        <f t="shared" si="55"/>
        <v>0</v>
      </c>
      <c r="AB51" s="108">
        <f t="shared" ref="AB51:AB69" si="71">AA51/AA$12</f>
        <v>0</v>
      </c>
      <c r="AC51" s="89">
        <f t="shared" si="57"/>
        <v>0</v>
      </c>
      <c r="AD51" s="92">
        <f t="shared" ref="AD51:AD69" si="72">AC51/AC$12</f>
        <v>0</v>
      </c>
      <c r="AE51" s="309"/>
      <c r="AF51" s="309"/>
      <c r="AG51" s="64"/>
      <c r="AI51" s="271"/>
      <c r="AJ51" s="274"/>
      <c r="AK51" s="263">
        <f t="shared" si="59"/>
        <v>0</v>
      </c>
      <c r="AM51" s="64">
        <f t="shared" si="3"/>
        <v>0</v>
      </c>
      <c r="AN51" s="64">
        <f t="shared" si="4"/>
        <v>0</v>
      </c>
      <c r="AO51" s="64">
        <f t="shared" si="5"/>
        <v>0</v>
      </c>
    </row>
    <row r="52" spans="1:41" s="1" customFormat="1">
      <c r="A52" s="128">
        <v>6111</v>
      </c>
      <c r="B52" s="128" t="s">
        <v>10</v>
      </c>
      <c r="C52" s="46"/>
      <c r="D52" s="49">
        <f t="shared" si="60"/>
        <v>0</v>
      </c>
      <c r="E52" s="46"/>
      <c r="F52" s="49">
        <f t="shared" si="61"/>
        <v>0</v>
      </c>
      <c r="G52" s="289"/>
      <c r="H52" s="49">
        <f t="shared" si="62"/>
        <v>0</v>
      </c>
      <c r="I52" s="46"/>
      <c r="J52" s="49">
        <f t="shared" si="63"/>
        <v>0</v>
      </c>
      <c r="K52" s="46"/>
      <c r="L52" s="49">
        <f t="shared" si="64"/>
        <v>0</v>
      </c>
      <c r="M52" s="46"/>
      <c r="N52" s="49">
        <f t="shared" si="65"/>
        <v>0</v>
      </c>
      <c r="O52" s="46"/>
      <c r="P52" s="49">
        <f t="shared" si="66"/>
        <v>0</v>
      </c>
      <c r="Q52" s="46"/>
      <c r="R52" s="49">
        <f t="shared" si="50"/>
        <v>0</v>
      </c>
      <c r="S52" s="46"/>
      <c r="T52" s="49">
        <f t="shared" si="67"/>
        <v>0</v>
      </c>
      <c r="U52" s="46"/>
      <c r="V52" s="49">
        <f t="shared" si="68"/>
        <v>0</v>
      </c>
      <c r="W52" s="46"/>
      <c r="X52" s="49">
        <f t="shared" si="69"/>
        <v>0</v>
      </c>
      <c r="Y52" s="46"/>
      <c r="Z52" s="49">
        <f t="shared" si="70"/>
        <v>0</v>
      </c>
      <c r="AA52" s="105">
        <f t="shared" si="55"/>
        <v>0</v>
      </c>
      <c r="AB52" s="108">
        <f t="shared" si="71"/>
        <v>0</v>
      </c>
      <c r="AC52" s="89">
        <f t="shared" si="57"/>
        <v>0</v>
      </c>
      <c r="AD52" s="92">
        <f t="shared" si="72"/>
        <v>0</v>
      </c>
      <c r="AE52" s="309"/>
      <c r="AF52" s="309"/>
      <c r="AG52" s="64" t="s">
        <v>221</v>
      </c>
      <c r="AI52" s="271" t="s">
        <v>208</v>
      </c>
      <c r="AJ52" s="274"/>
      <c r="AK52" s="263">
        <f t="shared" si="59"/>
        <v>0</v>
      </c>
      <c r="AM52" s="64">
        <f t="shared" si="3"/>
        <v>0</v>
      </c>
      <c r="AN52" s="64">
        <f t="shared" si="4"/>
        <v>0</v>
      </c>
      <c r="AO52" s="64">
        <f t="shared" si="5"/>
        <v>0</v>
      </c>
    </row>
    <row r="53" spans="1:41" s="1" customFormat="1">
      <c r="A53" s="128">
        <v>6112</v>
      </c>
      <c r="B53" s="128" t="s">
        <v>11</v>
      </c>
      <c r="C53" s="46">
        <v>0</v>
      </c>
      <c r="D53" s="49">
        <f t="shared" si="60"/>
        <v>0</v>
      </c>
      <c r="E53" s="46">
        <v>0</v>
      </c>
      <c r="F53" s="49">
        <f t="shared" si="61"/>
        <v>0</v>
      </c>
      <c r="G53" s="289"/>
      <c r="H53" s="49">
        <f t="shared" si="62"/>
        <v>0</v>
      </c>
      <c r="I53" s="46">
        <v>0</v>
      </c>
      <c r="J53" s="49">
        <f t="shared" si="63"/>
        <v>0</v>
      </c>
      <c r="K53" s="46">
        <v>0</v>
      </c>
      <c r="L53" s="49">
        <f t="shared" si="64"/>
        <v>0</v>
      </c>
      <c r="M53" s="46">
        <v>0</v>
      </c>
      <c r="N53" s="49">
        <f t="shared" si="65"/>
        <v>0</v>
      </c>
      <c r="O53" s="46">
        <v>0</v>
      </c>
      <c r="P53" s="49">
        <f t="shared" si="66"/>
        <v>0</v>
      </c>
      <c r="Q53" s="46"/>
      <c r="R53" s="49">
        <f t="shared" si="50"/>
        <v>0</v>
      </c>
      <c r="S53" s="46">
        <v>0</v>
      </c>
      <c r="T53" s="49">
        <f t="shared" si="67"/>
        <v>0</v>
      </c>
      <c r="U53" s="46">
        <v>0</v>
      </c>
      <c r="V53" s="49">
        <f t="shared" si="68"/>
        <v>0</v>
      </c>
      <c r="W53" s="46">
        <v>0</v>
      </c>
      <c r="X53" s="49">
        <f t="shared" si="69"/>
        <v>0</v>
      </c>
      <c r="Y53" s="46">
        <v>0</v>
      </c>
      <c r="Z53" s="49">
        <f t="shared" si="70"/>
        <v>0</v>
      </c>
      <c r="AA53" s="105">
        <f t="shared" si="55"/>
        <v>0</v>
      </c>
      <c r="AB53" s="108">
        <f t="shared" si="71"/>
        <v>0</v>
      </c>
      <c r="AC53" s="89">
        <f t="shared" si="57"/>
        <v>0</v>
      </c>
      <c r="AD53" s="92">
        <f t="shared" si="72"/>
        <v>0</v>
      </c>
      <c r="AE53" s="309"/>
      <c r="AF53" s="309"/>
      <c r="AG53" s="54"/>
      <c r="AI53" s="271"/>
      <c r="AJ53" s="274"/>
      <c r="AK53" s="263">
        <f t="shared" si="59"/>
        <v>0</v>
      </c>
      <c r="AM53" s="64">
        <f t="shared" si="3"/>
        <v>0</v>
      </c>
      <c r="AN53" s="64">
        <f t="shared" si="4"/>
        <v>0</v>
      </c>
      <c r="AO53" s="64">
        <f t="shared" si="5"/>
        <v>0</v>
      </c>
    </row>
    <row r="54" spans="1:41" s="1" customFormat="1">
      <c r="A54" s="128">
        <v>6113</v>
      </c>
      <c r="B54" s="128" t="s">
        <v>12</v>
      </c>
      <c r="C54" s="46">
        <v>0</v>
      </c>
      <c r="D54" s="49">
        <f t="shared" si="60"/>
        <v>0</v>
      </c>
      <c r="E54" s="46">
        <v>0</v>
      </c>
      <c r="F54" s="49">
        <f t="shared" si="61"/>
        <v>0</v>
      </c>
      <c r="G54" s="289"/>
      <c r="H54" s="49">
        <f t="shared" si="62"/>
        <v>0</v>
      </c>
      <c r="I54" s="46">
        <v>0</v>
      </c>
      <c r="J54" s="49">
        <f t="shared" si="63"/>
        <v>0</v>
      </c>
      <c r="K54" s="46">
        <v>0</v>
      </c>
      <c r="L54" s="49">
        <f t="shared" si="64"/>
        <v>0</v>
      </c>
      <c r="M54" s="46">
        <v>0</v>
      </c>
      <c r="N54" s="49">
        <f t="shared" si="65"/>
        <v>0</v>
      </c>
      <c r="O54" s="46">
        <v>0</v>
      </c>
      <c r="P54" s="49">
        <f t="shared" si="66"/>
        <v>0</v>
      </c>
      <c r="Q54" s="46">
        <v>0</v>
      </c>
      <c r="R54" s="49">
        <f t="shared" si="50"/>
        <v>0</v>
      </c>
      <c r="S54" s="46"/>
      <c r="T54" s="49">
        <f t="shared" si="67"/>
        <v>0</v>
      </c>
      <c r="U54" s="46"/>
      <c r="V54" s="49">
        <f t="shared" si="68"/>
        <v>0</v>
      </c>
      <c r="W54" s="46"/>
      <c r="X54" s="49">
        <f t="shared" si="69"/>
        <v>0</v>
      </c>
      <c r="Y54" s="46"/>
      <c r="Z54" s="49">
        <f t="shared" si="70"/>
        <v>0</v>
      </c>
      <c r="AA54" s="105">
        <f t="shared" si="55"/>
        <v>0</v>
      </c>
      <c r="AB54" s="108">
        <f t="shared" si="71"/>
        <v>0</v>
      </c>
      <c r="AC54" s="89">
        <f t="shared" si="57"/>
        <v>0</v>
      </c>
      <c r="AD54" s="92">
        <f t="shared" si="72"/>
        <v>0</v>
      </c>
      <c r="AE54" s="309"/>
      <c r="AF54" s="309"/>
      <c r="AG54" s="54"/>
      <c r="AI54" s="271"/>
      <c r="AJ54" s="274"/>
      <c r="AK54" s="263">
        <f t="shared" si="59"/>
        <v>0</v>
      </c>
      <c r="AM54" s="64">
        <f t="shared" si="3"/>
        <v>0</v>
      </c>
      <c r="AN54" s="64">
        <f t="shared" si="4"/>
        <v>0</v>
      </c>
      <c r="AO54" s="64">
        <f t="shared" si="5"/>
        <v>0</v>
      </c>
    </row>
    <row r="55" spans="1:41" s="1" customFormat="1">
      <c r="A55" s="128">
        <v>6114</v>
      </c>
      <c r="B55" s="128" t="s">
        <v>88</v>
      </c>
      <c r="C55" s="55">
        <v>100</v>
      </c>
      <c r="D55" s="49">
        <f t="shared" si="60"/>
        <v>2.9769878836593136E-3</v>
      </c>
      <c r="E55" s="55">
        <v>100</v>
      </c>
      <c r="F55" s="49">
        <f t="shared" si="61"/>
        <v>3.8264785973931136E-3</v>
      </c>
      <c r="G55" s="55">
        <v>100</v>
      </c>
      <c r="H55" s="49">
        <f t="shared" si="62"/>
        <v>2.3068062988822347E-3</v>
      </c>
      <c r="I55" s="55">
        <v>100</v>
      </c>
      <c r="J55" s="49">
        <f t="shared" si="63"/>
        <v>2.612481624704021E-3</v>
      </c>
      <c r="K55" s="55">
        <v>100</v>
      </c>
      <c r="L55" s="49">
        <f t="shared" si="64"/>
        <v>2.8564140398361199E-3</v>
      </c>
      <c r="M55" s="55">
        <v>100</v>
      </c>
      <c r="N55" s="49">
        <f t="shared" si="65"/>
        <v>2.0144160294322494E-3</v>
      </c>
      <c r="O55" s="55">
        <v>100</v>
      </c>
      <c r="P55" s="49">
        <f t="shared" si="66"/>
        <v>3.1817762654608971E-3</v>
      </c>
      <c r="Q55" s="55">
        <v>100</v>
      </c>
      <c r="R55" s="49">
        <f t="shared" si="50"/>
        <v>2.5623550243293941E-3</v>
      </c>
      <c r="S55" s="55">
        <v>100</v>
      </c>
      <c r="T55" s="49">
        <f t="shared" si="67"/>
        <v>2.5435852076059529E-3</v>
      </c>
      <c r="U55" s="55">
        <v>100</v>
      </c>
      <c r="V55" s="49">
        <f t="shared" si="68"/>
        <v>3.2067123930005353E-3</v>
      </c>
      <c r="W55" s="55">
        <v>100</v>
      </c>
      <c r="X55" s="49">
        <f t="shared" si="69"/>
        <v>3.151741206341306E-3</v>
      </c>
      <c r="Y55" s="55">
        <v>100</v>
      </c>
      <c r="Z55" s="49">
        <f t="shared" si="70"/>
        <v>2.0863291152337609E-3</v>
      </c>
      <c r="AA55" s="105">
        <f t="shared" si="55"/>
        <v>1200</v>
      </c>
      <c r="AB55" s="108">
        <f t="shared" si="71"/>
        <v>2.6868606239547816E-3</v>
      </c>
      <c r="AC55" s="89">
        <f t="shared" si="57"/>
        <v>100</v>
      </c>
      <c r="AD55" s="92">
        <f t="shared" si="72"/>
        <v>2.6868606239547816E-3</v>
      </c>
      <c r="AE55" s="309" t="s">
        <v>280</v>
      </c>
      <c r="AF55" s="309">
        <v>294</v>
      </c>
      <c r="AG55" s="64" t="s">
        <v>152</v>
      </c>
      <c r="AI55" s="271" t="s">
        <v>232</v>
      </c>
      <c r="AJ55" s="274"/>
      <c r="AK55" s="263">
        <f t="shared" si="59"/>
        <v>6108</v>
      </c>
      <c r="AM55" s="64">
        <f t="shared" si="3"/>
        <v>1200</v>
      </c>
      <c r="AN55" s="64">
        <f t="shared" si="4"/>
        <v>0</v>
      </c>
      <c r="AO55" s="64">
        <f t="shared" si="5"/>
        <v>509</v>
      </c>
    </row>
    <row r="56" spans="1:41" s="1" customFormat="1">
      <c r="A56" s="128">
        <v>6115</v>
      </c>
      <c r="B56" s="128" t="s">
        <v>13</v>
      </c>
      <c r="C56" s="55">
        <v>200</v>
      </c>
      <c r="D56" s="49">
        <f t="shared" si="60"/>
        <v>5.9539757673186273E-3</v>
      </c>
      <c r="E56" s="55">
        <v>200</v>
      </c>
      <c r="F56" s="49">
        <f t="shared" si="61"/>
        <v>7.6529571947862272E-3</v>
      </c>
      <c r="G56" s="55">
        <v>200</v>
      </c>
      <c r="H56" s="49">
        <f t="shared" si="62"/>
        <v>4.6136125977644694E-3</v>
      </c>
      <c r="I56" s="55">
        <v>200</v>
      </c>
      <c r="J56" s="49">
        <f t="shared" si="63"/>
        <v>5.224963249408042E-3</v>
      </c>
      <c r="K56" s="55">
        <v>200</v>
      </c>
      <c r="L56" s="49">
        <f t="shared" si="64"/>
        <v>5.7128280796722398E-3</v>
      </c>
      <c r="M56" s="55">
        <v>200</v>
      </c>
      <c r="N56" s="49">
        <f t="shared" si="65"/>
        <v>4.0288320588644988E-3</v>
      </c>
      <c r="O56" s="55">
        <v>200</v>
      </c>
      <c r="P56" s="49">
        <f t="shared" si="66"/>
        <v>6.3635525309217941E-3</v>
      </c>
      <c r="Q56" s="55">
        <v>200</v>
      </c>
      <c r="R56" s="49">
        <f t="shared" si="50"/>
        <v>5.1247100486587881E-3</v>
      </c>
      <c r="S56" s="55">
        <v>200</v>
      </c>
      <c r="T56" s="49">
        <f t="shared" si="67"/>
        <v>5.0871704152119059E-3</v>
      </c>
      <c r="U56" s="55">
        <v>200</v>
      </c>
      <c r="V56" s="49">
        <f t="shared" si="68"/>
        <v>6.4134247860010707E-3</v>
      </c>
      <c r="W56" s="55">
        <v>200</v>
      </c>
      <c r="X56" s="49">
        <f t="shared" si="69"/>
        <v>6.3034824126826121E-3</v>
      </c>
      <c r="Y56" s="55">
        <v>200</v>
      </c>
      <c r="Z56" s="49">
        <f t="shared" si="70"/>
        <v>4.1726582304675219E-3</v>
      </c>
      <c r="AA56" s="105">
        <f t="shared" si="55"/>
        <v>2400</v>
      </c>
      <c r="AB56" s="108">
        <f t="shared" si="71"/>
        <v>5.3737212479095632E-3</v>
      </c>
      <c r="AC56" s="89">
        <f t="shared" si="57"/>
        <v>200</v>
      </c>
      <c r="AD56" s="92">
        <f t="shared" si="72"/>
        <v>5.3737212479095632E-3</v>
      </c>
      <c r="AE56" s="309" t="s">
        <v>280</v>
      </c>
      <c r="AF56" s="309">
        <v>1664</v>
      </c>
      <c r="AG56" s="64" t="s">
        <v>283</v>
      </c>
      <c r="AI56" s="271"/>
      <c r="AJ56" s="274"/>
      <c r="AK56" s="263">
        <f t="shared" si="59"/>
        <v>12216</v>
      </c>
      <c r="AM56" s="64">
        <f t="shared" si="3"/>
        <v>2400</v>
      </c>
      <c r="AN56" s="64">
        <f t="shared" si="4"/>
        <v>0</v>
      </c>
      <c r="AO56" s="64">
        <f t="shared" si="5"/>
        <v>1018</v>
      </c>
    </row>
    <row r="57" spans="1:41" s="1" customFormat="1">
      <c r="A57" s="128">
        <v>6116</v>
      </c>
      <c r="B57" s="128" t="s">
        <v>14</v>
      </c>
      <c r="C57" s="55"/>
      <c r="D57" s="49">
        <f t="shared" si="60"/>
        <v>0</v>
      </c>
      <c r="E57" s="55"/>
      <c r="F57" s="49">
        <f t="shared" ref="F57:F69" si="73">E57/E$12</f>
        <v>0</v>
      </c>
      <c r="G57" s="289"/>
      <c r="H57" s="49">
        <f t="shared" ref="H57:H69" si="74">G57/G$12</f>
        <v>0</v>
      </c>
      <c r="I57" s="55"/>
      <c r="J57" s="49">
        <f t="shared" ref="J57:J69" si="75">I57/I$12</f>
        <v>0</v>
      </c>
      <c r="K57" s="55"/>
      <c r="L57" s="49">
        <f t="shared" ref="L57:L69" si="76">K57/K$12</f>
        <v>0</v>
      </c>
      <c r="M57" s="55"/>
      <c r="N57" s="49">
        <f t="shared" ref="N57:N69" si="77">M57/M$12</f>
        <v>0</v>
      </c>
      <c r="O57" s="55"/>
      <c r="P57" s="49">
        <f t="shared" ref="P57:P69" si="78">O57/O$12</f>
        <v>0</v>
      </c>
      <c r="Q57" s="55"/>
      <c r="R57" s="49">
        <f t="shared" ref="R57:R69" si="79">Q57/Q$12</f>
        <v>0</v>
      </c>
      <c r="S57" s="55"/>
      <c r="T57" s="49">
        <f t="shared" ref="T57:T69" si="80">S57/S$12</f>
        <v>0</v>
      </c>
      <c r="U57" s="55"/>
      <c r="V57" s="49">
        <f t="shared" ref="V57:V69" si="81">U57/U$12</f>
        <v>0</v>
      </c>
      <c r="W57" s="55"/>
      <c r="X57" s="49">
        <f t="shared" ref="X57:X69" si="82">W57/W$12</f>
        <v>0</v>
      </c>
      <c r="Y57" s="55"/>
      <c r="Z57" s="49">
        <f t="shared" ref="Z57:Z69" si="83">Y57/Y$12</f>
        <v>0</v>
      </c>
      <c r="AA57" s="105">
        <f t="shared" si="55"/>
        <v>0</v>
      </c>
      <c r="AB57" s="108">
        <f t="shared" si="71"/>
        <v>0</v>
      </c>
      <c r="AC57" s="89">
        <f t="shared" si="57"/>
        <v>0</v>
      </c>
      <c r="AD57" s="92">
        <f t="shared" si="72"/>
        <v>0</v>
      </c>
      <c r="AE57" s="309"/>
      <c r="AF57" s="309"/>
      <c r="AG57" s="64"/>
      <c r="AH57" s="14"/>
      <c r="AI57" s="271"/>
      <c r="AJ57" s="274"/>
      <c r="AK57" s="263">
        <f t="shared" si="59"/>
        <v>0</v>
      </c>
      <c r="AM57" s="64">
        <f t="shared" si="3"/>
        <v>0</v>
      </c>
      <c r="AN57" s="64">
        <f t="shared" si="4"/>
        <v>0</v>
      </c>
      <c r="AO57" s="64">
        <f t="shared" si="5"/>
        <v>0</v>
      </c>
    </row>
    <row r="58" spans="1:41" s="1" customFormat="1">
      <c r="A58" s="128">
        <v>6117</v>
      </c>
      <c r="B58" s="128" t="s">
        <v>15</v>
      </c>
      <c r="C58" s="46"/>
      <c r="D58" s="49">
        <f t="shared" si="60"/>
        <v>0</v>
      </c>
      <c r="E58" s="46"/>
      <c r="F58" s="49">
        <f t="shared" si="73"/>
        <v>0</v>
      </c>
      <c r="G58" s="289"/>
      <c r="H58" s="49">
        <f t="shared" si="74"/>
        <v>0</v>
      </c>
      <c r="I58" s="46"/>
      <c r="J58" s="49">
        <f t="shared" si="75"/>
        <v>0</v>
      </c>
      <c r="K58" s="21"/>
      <c r="L58" s="49">
        <f t="shared" si="76"/>
        <v>0</v>
      </c>
      <c r="M58" s="21"/>
      <c r="N58" s="49">
        <f t="shared" si="77"/>
        <v>0</v>
      </c>
      <c r="O58" s="21"/>
      <c r="P58" s="49">
        <f t="shared" si="78"/>
        <v>0</v>
      </c>
      <c r="Q58" s="46"/>
      <c r="R58" s="49">
        <f t="shared" si="79"/>
        <v>0</v>
      </c>
      <c r="S58" s="21"/>
      <c r="T58" s="49">
        <f t="shared" si="80"/>
        <v>0</v>
      </c>
      <c r="U58" s="21"/>
      <c r="V58" s="49">
        <f t="shared" si="81"/>
        <v>0</v>
      </c>
      <c r="W58" s="21"/>
      <c r="X58" s="49">
        <f t="shared" si="82"/>
        <v>0</v>
      </c>
      <c r="Y58" s="21"/>
      <c r="Z58" s="49">
        <f t="shared" si="83"/>
        <v>0</v>
      </c>
      <c r="AA58" s="105">
        <f t="shared" si="55"/>
        <v>0</v>
      </c>
      <c r="AB58" s="108">
        <f t="shared" si="71"/>
        <v>0</v>
      </c>
      <c r="AC58" s="89">
        <f t="shared" si="57"/>
        <v>0</v>
      </c>
      <c r="AD58" s="92">
        <f t="shared" si="72"/>
        <v>0</v>
      </c>
      <c r="AE58" s="309"/>
      <c r="AF58" s="309"/>
      <c r="AG58" s="64"/>
      <c r="AI58" s="271"/>
      <c r="AJ58" s="274"/>
      <c r="AK58" s="263">
        <f t="shared" si="59"/>
        <v>0</v>
      </c>
      <c r="AM58" s="64">
        <f t="shared" si="3"/>
        <v>0</v>
      </c>
      <c r="AN58" s="64">
        <f t="shared" si="4"/>
        <v>0</v>
      </c>
      <c r="AO58" s="64">
        <f t="shared" si="5"/>
        <v>0</v>
      </c>
    </row>
    <row r="59" spans="1:41" s="1" customFormat="1">
      <c r="A59" s="128">
        <v>6118</v>
      </c>
      <c r="B59" s="128" t="s">
        <v>16</v>
      </c>
      <c r="C59" s="55"/>
      <c r="D59" s="49">
        <f t="shared" si="60"/>
        <v>0</v>
      </c>
      <c r="E59" s="55"/>
      <c r="F59" s="49">
        <f t="shared" si="73"/>
        <v>0</v>
      </c>
      <c r="G59" s="289"/>
      <c r="H59" s="49">
        <f t="shared" si="74"/>
        <v>0</v>
      </c>
      <c r="I59" s="55"/>
      <c r="J59" s="49">
        <f t="shared" si="75"/>
        <v>0</v>
      </c>
      <c r="K59" s="55"/>
      <c r="L59" s="49">
        <f t="shared" si="76"/>
        <v>0</v>
      </c>
      <c r="M59" s="55"/>
      <c r="N59" s="49">
        <f t="shared" si="77"/>
        <v>0</v>
      </c>
      <c r="O59" s="55"/>
      <c r="P59" s="49">
        <f t="shared" si="78"/>
        <v>0</v>
      </c>
      <c r="Q59" s="55"/>
      <c r="R59" s="49">
        <f t="shared" si="79"/>
        <v>0</v>
      </c>
      <c r="S59" s="55"/>
      <c r="T59" s="49">
        <f t="shared" si="80"/>
        <v>0</v>
      </c>
      <c r="U59" s="55"/>
      <c r="V59" s="49">
        <f t="shared" si="81"/>
        <v>0</v>
      </c>
      <c r="W59" s="55"/>
      <c r="X59" s="49">
        <f t="shared" si="82"/>
        <v>0</v>
      </c>
      <c r="Y59" s="55"/>
      <c r="Z59" s="49">
        <f t="shared" si="83"/>
        <v>0</v>
      </c>
      <c r="AA59" s="105">
        <f t="shared" si="55"/>
        <v>0</v>
      </c>
      <c r="AB59" s="108">
        <f t="shared" si="71"/>
        <v>0</v>
      </c>
      <c r="AC59" s="89">
        <f t="shared" si="57"/>
        <v>0</v>
      </c>
      <c r="AD59" s="92">
        <f t="shared" si="72"/>
        <v>0</v>
      </c>
      <c r="AE59" s="309"/>
      <c r="AF59" s="309"/>
      <c r="AG59" s="64"/>
      <c r="AI59" s="271"/>
      <c r="AJ59" s="274"/>
      <c r="AK59" s="263">
        <f t="shared" si="59"/>
        <v>0</v>
      </c>
      <c r="AM59" s="64">
        <f t="shared" si="3"/>
        <v>0</v>
      </c>
      <c r="AN59" s="64">
        <f t="shared" si="4"/>
        <v>0</v>
      </c>
      <c r="AO59" s="64">
        <f t="shared" si="5"/>
        <v>0</v>
      </c>
    </row>
    <row r="60" spans="1:41" s="1" customFormat="1">
      <c r="A60" s="128">
        <v>6119</v>
      </c>
      <c r="B60" s="128" t="s">
        <v>17</v>
      </c>
      <c r="C60" s="46"/>
      <c r="D60" s="49">
        <f t="shared" si="60"/>
        <v>0</v>
      </c>
      <c r="E60" s="46"/>
      <c r="F60" s="49">
        <f t="shared" si="73"/>
        <v>0</v>
      </c>
      <c r="G60" s="289"/>
      <c r="H60" s="49">
        <f t="shared" si="74"/>
        <v>0</v>
      </c>
      <c r="I60" s="46"/>
      <c r="J60" s="49">
        <f t="shared" si="75"/>
        <v>0</v>
      </c>
      <c r="K60" s="21"/>
      <c r="L60" s="49">
        <f t="shared" si="76"/>
        <v>0</v>
      </c>
      <c r="M60" s="21"/>
      <c r="N60" s="49">
        <f t="shared" si="77"/>
        <v>0</v>
      </c>
      <c r="O60" s="21"/>
      <c r="P60" s="49">
        <f t="shared" si="78"/>
        <v>0</v>
      </c>
      <c r="Q60" s="46"/>
      <c r="R60" s="49">
        <f t="shared" si="79"/>
        <v>0</v>
      </c>
      <c r="S60" s="21"/>
      <c r="T60" s="49">
        <f t="shared" si="80"/>
        <v>0</v>
      </c>
      <c r="U60" s="21"/>
      <c r="V60" s="49">
        <f t="shared" si="81"/>
        <v>0</v>
      </c>
      <c r="W60" s="21"/>
      <c r="X60" s="49">
        <f t="shared" si="82"/>
        <v>0</v>
      </c>
      <c r="Y60" s="21"/>
      <c r="Z60" s="49">
        <f t="shared" si="83"/>
        <v>0</v>
      </c>
      <c r="AA60" s="105">
        <f t="shared" si="55"/>
        <v>0</v>
      </c>
      <c r="AB60" s="108">
        <f t="shared" si="71"/>
        <v>0</v>
      </c>
      <c r="AC60" s="89">
        <f t="shared" si="57"/>
        <v>0</v>
      </c>
      <c r="AD60" s="92">
        <f t="shared" si="72"/>
        <v>0</v>
      </c>
      <c r="AE60" s="309"/>
      <c r="AF60" s="309"/>
      <c r="AG60" s="64"/>
      <c r="AI60" s="271"/>
      <c r="AJ60" s="274"/>
      <c r="AK60" s="263">
        <f t="shared" si="59"/>
        <v>0</v>
      </c>
      <c r="AM60" s="64">
        <f t="shared" si="3"/>
        <v>0</v>
      </c>
      <c r="AN60" s="64">
        <f t="shared" si="4"/>
        <v>0</v>
      </c>
      <c r="AO60" s="64">
        <f t="shared" si="5"/>
        <v>0</v>
      </c>
    </row>
    <row r="61" spans="1:41" s="1" customFormat="1">
      <c r="A61" s="128">
        <v>6120</v>
      </c>
      <c r="B61" s="128" t="s">
        <v>18</v>
      </c>
      <c r="C61" s="46">
        <v>0</v>
      </c>
      <c r="D61" s="49">
        <f t="shared" si="60"/>
        <v>0</v>
      </c>
      <c r="E61" s="46">
        <v>0</v>
      </c>
      <c r="F61" s="49">
        <f t="shared" si="73"/>
        <v>0</v>
      </c>
      <c r="G61" s="289"/>
      <c r="H61" s="49">
        <f t="shared" si="74"/>
        <v>0</v>
      </c>
      <c r="I61" s="46">
        <v>0</v>
      </c>
      <c r="J61" s="49">
        <f t="shared" si="75"/>
        <v>0</v>
      </c>
      <c r="K61" s="21">
        <v>0</v>
      </c>
      <c r="L61" s="49">
        <f t="shared" si="76"/>
        <v>0</v>
      </c>
      <c r="M61" s="21">
        <v>0</v>
      </c>
      <c r="N61" s="49">
        <f t="shared" si="77"/>
        <v>0</v>
      </c>
      <c r="O61" s="21">
        <v>0</v>
      </c>
      <c r="P61" s="49">
        <f t="shared" si="78"/>
        <v>0</v>
      </c>
      <c r="Q61" s="46">
        <v>0</v>
      </c>
      <c r="R61" s="49">
        <f t="shared" si="79"/>
        <v>0</v>
      </c>
      <c r="S61" s="21">
        <v>0</v>
      </c>
      <c r="T61" s="49">
        <f t="shared" si="80"/>
        <v>0</v>
      </c>
      <c r="U61" s="21">
        <v>0</v>
      </c>
      <c r="V61" s="49">
        <f t="shared" si="81"/>
        <v>0</v>
      </c>
      <c r="W61" s="21">
        <v>0</v>
      </c>
      <c r="X61" s="49">
        <f t="shared" si="82"/>
        <v>0</v>
      </c>
      <c r="Y61" s="21">
        <v>0</v>
      </c>
      <c r="Z61" s="49">
        <f t="shared" si="83"/>
        <v>0</v>
      </c>
      <c r="AA61" s="105">
        <f t="shared" si="55"/>
        <v>0</v>
      </c>
      <c r="AB61" s="108">
        <f t="shared" si="71"/>
        <v>0</v>
      </c>
      <c r="AC61" s="89">
        <f t="shared" si="57"/>
        <v>0</v>
      </c>
      <c r="AD61" s="92">
        <f t="shared" si="72"/>
        <v>0</v>
      </c>
      <c r="AE61" s="309"/>
      <c r="AF61" s="309"/>
      <c r="AG61" s="64"/>
      <c r="AI61" s="271"/>
      <c r="AJ61" s="274"/>
      <c r="AK61" s="263">
        <f t="shared" si="59"/>
        <v>0</v>
      </c>
      <c r="AM61" s="64">
        <f t="shared" si="3"/>
        <v>0</v>
      </c>
      <c r="AN61" s="64">
        <f t="shared" si="4"/>
        <v>0</v>
      </c>
      <c r="AO61" s="64">
        <f t="shared" si="5"/>
        <v>0</v>
      </c>
    </row>
    <row r="62" spans="1:41" s="1" customFormat="1">
      <c r="A62" s="128">
        <v>6121</v>
      </c>
      <c r="B62" s="128" t="s">
        <v>19</v>
      </c>
      <c r="C62" s="46">
        <v>20</v>
      </c>
      <c r="D62" s="49">
        <f t="shared" si="60"/>
        <v>5.9539757673186268E-4</v>
      </c>
      <c r="E62" s="46">
        <v>20</v>
      </c>
      <c r="F62" s="49">
        <f t="shared" si="73"/>
        <v>7.6529571947862266E-4</v>
      </c>
      <c r="G62" s="46">
        <v>20</v>
      </c>
      <c r="H62" s="49">
        <f t="shared" si="74"/>
        <v>4.6136125977644697E-4</v>
      </c>
      <c r="I62" s="46">
        <v>20</v>
      </c>
      <c r="J62" s="49">
        <f t="shared" si="75"/>
        <v>5.224963249408042E-4</v>
      </c>
      <c r="K62" s="46">
        <v>20</v>
      </c>
      <c r="L62" s="49">
        <f t="shared" si="76"/>
        <v>5.7128280796722405E-4</v>
      </c>
      <c r="M62" s="46">
        <v>20</v>
      </c>
      <c r="N62" s="49">
        <f t="shared" si="77"/>
        <v>4.0288320588644991E-4</v>
      </c>
      <c r="O62" s="46">
        <v>20</v>
      </c>
      <c r="P62" s="49">
        <f t="shared" si="78"/>
        <v>6.3635525309217939E-4</v>
      </c>
      <c r="Q62" s="46">
        <v>20</v>
      </c>
      <c r="R62" s="49">
        <f t="shared" si="79"/>
        <v>5.1247100486587877E-4</v>
      </c>
      <c r="S62" s="46">
        <v>20</v>
      </c>
      <c r="T62" s="49">
        <f t="shared" si="80"/>
        <v>5.0871704152119068E-4</v>
      </c>
      <c r="U62" s="46">
        <v>20</v>
      </c>
      <c r="V62" s="49">
        <f t="shared" si="81"/>
        <v>6.4134247860010707E-4</v>
      </c>
      <c r="W62" s="46">
        <v>20</v>
      </c>
      <c r="X62" s="49">
        <f t="shared" si="82"/>
        <v>6.3034824126826121E-4</v>
      </c>
      <c r="Y62" s="46">
        <v>20</v>
      </c>
      <c r="Z62" s="49">
        <f t="shared" si="83"/>
        <v>4.1726582304675217E-4</v>
      </c>
      <c r="AA62" s="105">
        <f t="shared" si="55"/>
        <v>240</v>
      </c>
      <c r="AB62" s="108">
        <f t="shared" si="71"/>
        <v>5.3737212479095626E-4</v>
      </c>
      <c r="AC62" s="89">
        <f t="shared" si="57"/>
        <v>20</v>
      </c>
      <c r="AD62" s="92">
        <f t="shared" si="72"/>
        <v>5.3737212479095626E-4</v>
      </c>
      <c r="AE62" s="309" t="s">
        <v>271</v>
      </c>
      <c r="AF62" s="309">
        <v>31</v>
      </c>
      <c r="AG62" s="64" t="s">
        <v>152</v>
      </c>
      <c r="AI62" s="271"/>
      <c r="AJ62" s="274"/>
      <c r="AK62" s="263">
        <f t="shared" si="59"/>
        <v>1221.5999999999997</v>
      </c>
      <c r="AM62" s="64">
        <f t="shared" si="3"/>
        <v>240</v>
      </c>
      <c r="AN62" s="64">
        <f t="shared" si="4"/>
        <v>0</v>
      </c>
      <c r="AO62" s="64">
        <f t="shared" si="5"/>
        <v>101.8</v>
      </c>
    </row>
    <row r="63" spans="1:41" s="1" customFormat="1">
      <c r="A63" s="128">
        <v>6122</v>
      </c>
      <c r="B63" s="128" t="s">
        <v>20</v>
      </c>
      <c r="C63" s="46">
        <v>0</v>
      </c>
      <c r="D63" s="49">
        <f t="shared" si="60"/>
        <v>0</v>
      </c>
      <c r="E63" s="46">
        <v>0</v>
      </c>
      <c r="F63" s="49">
        <f t="shared" si="73"/>
        <v>0</v>
      </c>
      <c r="G63" s="289"/>
      <c r="H63" s="49">
        <f t="shared" si="74"/>
        <v>0</v>
      </c>
      <c r="I63" s="46">
        <v>0</v>
      </c>
      <c r="J63" s="49">
        <f t="shared" si="75"/>
        <v>0</v>
      </c>
      <c r="K63" s="21">
        <v>0</v>
      </c>
      <c r="L63" s="49">
        <f t="shared" si="76"/>
        <v>0</v>
      </c>
      <c r="M63" s="21">
        <v>0</v>
      </c>
      <c r="N63" s="49">
        <f t="shared" si="77"/>
        <v>0</v>
      </c>
      <c r="O63" s="21"/>
      <c r="P63" s="49">
        <f t="shared" si="78"/>
        <v>0</v>
      </c>
      <c r="Q63" s="46">
        <v>0</v>
      </c>
      <c r="R63" s="49">
        <f t="shared" si="79"/>
        <v>0</v>
      </c>
      <c r="S63" s="21">
        <v>0</v>
      </c>
      <c r="T63" s="49">
        <f t="shared" si="80"/>
        <v>0</v>
      </c>
      <c r="U63" s="21">
        <v>0</v>
      </c>
      <c r="V63" s="49">
        <f t="shared" si="81"/>
        <v>0</v>
      </c>
      <c r="W63" s="21">
        <v>0</v>
      </c>
      <c r="X63" s="49">
        <f t="shared" si="82"/>
        <v>0</v>
      </c>
      <c r="Y63" s="21">
        <v>0</v>
      </c>
      <c r="Z63" s="49">
        <f t="shared" si="83"/>
        <v>0</v>
      </c>
      <c r="AA63" s="105">
        <f t="shared" si="55"/>
        <v>0</v>
      </c>
      <c r="AB63" s="108">
        <f t="shared" si="71"/>
        <v>0</v>
      </c>
      <c r="AC63" s="89">
        <f t="shared" si="57"/>
        <v>0</v>
      </c>
      <c r="AD63" s="92">
        <f t="shared" si="72"/>
        <v>0</v>
      </c>
      <c r="AE63" s="309"/>
      <c r="AF63" s="309"/>
      <c r="AG63" s="64"/>
      <c r="AI63" s="271"/>
      <c r="AJ63" s="274"/>
      <c r="AK63" s="263">
        <f t="shared" si="59"/>
        <v>0</v>
      </c>
      <c r="AM63" s="64">
        <f t="shared" si="3"/>
        <v>0</v>
      </c>
      <c r="AN63" s="64">
        <f t="shared" si="4"/>
        <v>0</v>
      </c>
      <c r="AO63" s="64">
        <f t="shared" si="5"/>
        <v>0</v>
      </c>
    </row>
    <row r="64" spans="1:41" s="1" customFormat="1">
      <c r="A64" s="128">
        <v>6123</v>
      </c>
      <c r="B64" s="128" t="s">
        <v>21</v>
      </c>
      <c r="C64" s="46"/>
      <c r="D64" s="49">
        <f t="shared" si="60"/>
        <v>0</v>
      </c>
      <c r="E64" s="46"/>
      <c r="F64" s="49">
        <f t="shared" si="73"/>
        <v>0</v>
      </c>
      <c r="G64" s="289"/>
      <c r="H64" s="49">
        <f t="shared" si="74"/>
        <v>0</v>
      </c>
      <c r="I64" s="46"/>
      <c r="J64" s="49">
        <f t="shared" si="75"/>
        <v>0</v>
      </c>
      <c r="K64" s="21"/>
      <c r="L64" s="49">
        <f t="shared" si="76"/>
        <v>0</v>
      </c>
      <c r="M64" s="21"/>
      <c r="N64" s="49">
        <f t="shared" si="77"/>
        <v>0</v>
      </c>
      <c r="O64" s="21"/>
      <c r="P64" s="49">
        <f t="shared" si="78"/>
        <v>0</v>
      </c>
      <c r="Q64" s="46"/>
      <c r="R64" s="49">
        <f t="shared" si="79"/>
        <v>0</v>
      </c>
      <c r="S64" s="21"/>
      <c r="T64" s="49">
        <f t="shared" si="80"/>
        <v>0</v>
      </c>
      <c r="U64" s="21"/>
      <c r="V64" s="49">
        <f t="shared" si="81"/>
        <v>0</v>
      </c>
      <c r="W64" s="21"/>
      <c r="X64" s="49">
        <f t="shared" si="82"/>
        <v>0</v>
      </c>
      <c r="Y64" s="21"/>
      <c r="Z64" s="49">
        <f t="shared" si="83"/>
        <v>0</v>
      </c>
      <c r="AA64" s="105">
        <f t="shared" si="55"/>
        <v>0</v>
      </c>
      <c r="AB64" s="108">
        <f t="shared" si="71"/>
        <v>0</v>
      </c>
      <c r="AC64" s="89">
        <f t="shared" si="57"/>
        <v>0</v>
      </c>
      <c r="AD64" s="92">
        <f t="shared" si="72"/>
        <v>0</v>
      </c>
      <c r="AE64" s="309"/>
      <c r="AF64" s="309"/>
      <c r="AG64" s="64"/>
      <c r="AI64" s="271"/>
      <c r="AJ64" s="274"/>
      <c r="AK64" s="263">
        <f t="shared" si="59"/>
        <v>0</v>
      </c>
      <c r="AM64" s="64">
        <f t="shared" si="3"/>
        <v>0</v>
      </c>
      <c r="AN64" s="64">
        <f t="shared" si="4"/>
        <v>0</v>
      </c>
      <c r="AO64" s="64">
        <f t="shared" si="5"/>
        <v>0</v>
      </c>
    </row>
    <row r="65" spans="1:41" s="1" customFormat="1">
      <c r="A65" s="128">
        <v>6124</v>
      </c>
      <c r="B65" s="128" t="s">
        <v>22</v>
      </c>
      <c r="C65" s="46">
        <v>100</v>
      </c>
      <c r="D65" s="49">
        <f t="shared" si="60"/>
        <v>2.9769878836593136E-3</v>
      </c>
      <c r="E65" s="46">
        <v>100</v>
      </c>
      <c r="F65" s="49">
        <f t="shared" si="73"/>
        <v>3.8264785973931136E-3</v>
      </c>
      <c r="G65" s="46">
        <v>100</v>
      </c>
      <c r="H65" s="49">
        <f t="shared" si="74"/>
        <v>2.3068062988822347E-3</v>
      </c>
      <c r="I65" s="46">
        <v>100</v>
      </c>
      <c r="J65" s="49">
        <f t="shared" si="75"/>
        <v>2.612481624704021E-3</v>
      </c>
      <c r="K65" s="46">
        <v>100</v>
      </c>
      <c r="L65" s="49">
        <f t="shared" si="76"/>
        <v>2.8564140398361199E-3</v>
      </c>
      <c r="M65" s="46">
        <v>100</v>
      </c>
      <c r="N65" s="49">
        <f t="shared" si="77"/>
        <v>2.0144160294322494E-3</v>
      </c>
      <c r="O65" s="46">
        <v>100</v>
      </c>
      <c r="P65" s="49">
        <f t="shared" si="78"/>
        <v>3.1817762654608971E-3</v>
      </c>
      <c r="Q65" s="46">
        <v>100</v>
      </c>
      <c r="R65" s="49">
        <f t="shared" si="79"/>
        <v>2.5623550243293941E-3</v>
      </c>
      <c r="S65" s="46">
        <v>100</v>
      </c>
      <c r="T65" s="49">
        <f t="shared" si="80"/>
        <v>2.5435852076059529E-3</v>
      </c>
      <c r="U65" s="46">
        <v>100</v>
      </c>
      <c r="V65" s="49">
        <f t="shared" si="81"/>
        <v>3.2067123930005353E-3</v>
      </c>
      <c r="W65" s="46">
        <v>100</v>
      </c>
      <c r="X65" s="49">
        <f t="shared" si="82"/>
        <v>3.151741206341306E-3</v>
      </c>
      <c r="Y65" s="46">
        <v>100</v>
      </c>
      <c r="Z65" s="49">
        <f t="shared" si="83"/>
        <v>2.0863291152337609E-3</v>
      </c>
      <c r="AA65" s="105">
        <f t="shared" si="55"/>
        <v>1200</v>
      </c>
      <c r="AB65" s="108">
        <f t="shared" si="71"/>
        <v>2.6868606239547816E-3</v>
      </c>
      <c r="AC65" s="89">
        <f t="shared" si="57"/>
        <v>100</v>
      </c>
      <c r="AD65" s="92">
        <f t="shared" si="72"/>
        <v>2.6868606239547816E-3</v>
      </c>
      <c r="AE65" s="309"/>
      <c r="AF65" s="309"/>
      <c r="AG65" s="289" t="s">
        <v>222</v>
      </c>
      <c r="AH65" s="289" t="s">
        <v>222</v>
      </c>
      <c r="AI65" s="271" t="s">
        <v>209</v>
      </c>
      <c r="AJ65" s="274">
        <f>(5200*12)*2%</f>
        <v>1248</v>
      </c>
      <c r="AK65" s="263">
        <f t="shared" si="59"/>
        <v>6108</v>
      </c>
      <c r="AM65" s="64">
        <f t="shared" si="3"/>
        <v>1200</v>
      </c>
      <c r="AN65" s="64">
        <f t="shared" si="4"/>
        <v>0</v>
      </c>
      <c r="AO65" s="64">
        <f t="shared" si="5"/>
        <v>509</v>
      </c>
    </row>
    <row r="66" spans="1:41" s="1" customFormat="1">
      <c r="A66" s="128">
        <v>6125</v>
      </c>
      <c r="B66" s="2" t="s">
        <v>78</v>
      </c>
      <c r="C66" s="46">
        <v>81.86</v>
      </c>
      <c r="D66" s="49">
        <f t="shared" si="60"/>
        <v>2.4369622815635138E-3</v>
      </c>
      <c r="E66" s="46">
        <v>81.86</v>
      </c>
      <c r="F66" s="49">
        <f t="shared" si="73"/>
        <v>3.1323553798260025E-3</v>
      </c>
      <c r="G66" s="46">
        <v>81.86</v>
      </c>
      <c r="H66" s="49">
        <f t="shared" si="74"/>
        <v>1.8883516362649974E-3</v>
      </c>
      <c r="I66" s="46">
        <v>81.86</v>
      </c>
      <c r="J66" s="49">
        <f t="shared" si="75"/>
        <v>2.1385774579827117E-3</v>
      </c>
      <c r="K66" s="46">
        <v>81.86</v>
      </c>
      <c r="L66" s="49">
        <f t="shared" si="76"/>
        <v>2.3382605330098481E-3</v>
      </c>
      <c r="M66" s="46">
        <v>81.86</v>
      </c>
      <c r="N66" s="49">
        <f t="shared" si="77"/>
        <v>1.6490009616932394E-3</v>
      </c>
      <c r="O66" s="46">
        <v>81.86</v>
      </c>
      <c r="P66" s="49">
        <f t="shared" si="78"/>
        <v>2.6046020509062902E-3</v>
      </c>
      <c r="Q66" s="46">
        <v>81.86</v>
      </c>
      <c r="R66" s="49">
        <f t="shared" si="79"/>
        <v>2.0975438229160421E-3</v>
      </c>
      <c r="S66" s="46">
        <v>81.86</v>
      </c>
      <c r="T66" s="49">
        <f t="shared" si="80"/>
        <v>2.0821788509462332E-3</v>
      </c>
      <c r="U66" s="46">
        <v>81.86</v>
      </c>
      <c r="V66" s="49">
        <f t="shared" si="81"/>
        <v>2.6250147649102382E-3</v>
      </c>
      <c r="W66" s="46">
        <v>81.86</v>
      </c>
      <c r="X66" s="49">
        <f t="shared" si="82"/>
        <v>2.5800153515109932E-3</v>
      </c>
      <c r="Y66" s="46">
        <v>81.86</v>
      </c>
      <c r="Z66" s="49">
        <f t="shared" si="83"/>
        <v>1.7078690137303568E-3</v>
      </c>
      <c r="AA66" s="105">
        <f t="shared" si="55"/>
        <v>982.32</v>
      </c>
      <c r="AB66" s="108">
        <f t="shared" si="71"/>
        <v>2.1994641067693841E-3</v>
      </c>
      <c r="AC66" s="89">
        <f t="shared" si="57"/>
        <v>81.86</v>
      </c>
      <c r="AD66" s="92">
        <f t="shared" si="72"/>
        <v>2.1994641067693841E-3</v>
      </c>
      <c r="AE66" s="309"/>
      <c r="AF66" s="309"/>
      <c r="AG66" s="64" t="s">
        <v>152</v>
      </c>
      <c r="AI66" s="271"/>
      <c r="AJ66" s="274"/>
      <c r="AK66" s="263">
        <f t="shared" si="59"/>
        <v>5000.0087999999996</v>
      </c>
      <c r="AM66" s="64">
        <f t="shared" si="3"/>
        <v>982.32</v>
      </c>
      <c r="AN66" s="64">
        <f t="shared" si="4"/>
        <v>0</v>
      </c>
      <c r="AO66" s="64">
        <f t="shared" si="5"/>
        <v>416.66739999999999</v>
      </c>
    </row>
    <row r="67" spans="1:41" s="1" customFormat="1">
      <c r="A67" s="2">
        <v>6126</v>
      </c>
      <c r="B67" s="2" t="s">
        <v>113</v>
      </c>
      <c r="C67" s="46">
        <v>0</v>
      </c>
      <c r="D67" s="49">
        <f t="shared" si="60"/>
        <v>0</v>
      </c>
      <c r="E67" s="46">
        <v>0</v>
      </c>
      <c r="F67" s="49">
        <f t="shared" si="73"/>
        <v>0</v>
      </c>
      <c r="G67" s="289"/>
      <c r="H67" s="49">
        <f t="shared" si="74"/>
        <v>0</v>
      </c>
      <c r="I67" s="46">
        <v>0</v>
      </c>
      <c r="J67" s="49">
        <f t="shared" si="75"/>
        <v>0</v>
      </c>
      <c r="K67" s="21">
        <v>0</v>
      </c>
      <c r="L67" s="49">
        <f t="shared" si="76"/>
        <v>0</v>
      </c>
      <c r="M67" s="21">
        <v>0</v>
      </c>
      <c r="N67" s="49">
        <f t="shared" si="77"/>
        <v>0</v>
      </c>
      <c r="O67" s="21"/>
      <c r="P67" s="49">
        <f t="shared" si="78"/>
        <v>0</v>
      </c>
      <c r="Q67" s="46">
        <v>0</v>
      </c>
      <c r="R67" s="49">
        <f t="shared" si="79"/>
        <v>0</v>
      </c>
      <c r="S67" s="21">
        <v>0</v>
      </c>
      <c r="T67" s="49">
        <f t="shared" si="80"/>
        <v>0</v>
      </c>
      <c r="U67" s="21">
        <v>0</v>
      </c>
      <c r="V67" s="49">
        <f t="shared" si="81"/>
        <v>0</v>
      </c>
      <c r="W67" s="21">
        <v>0</v>
      </c>
      <c r="X67" s="49">
        <f t="shared" si="82"/>
        <v>0</v>
      </c>
      <c r="Y67" s="21">
        <v>0</v>
      </c>
      <c r="Z67" s="49">
        <f t="shared" si="83"/>
        <v>0</v>
      </c>
      <c r="AA67" s="105">
        <f t="shared" si="55"/>
        <v>0</v>
      </c>
      <c r="AB67" s="108">
        <f t="shared" si="71"/>
        <v>0</v>
      </c>
      <c r="AC67" s="89">
        <f t="shared" si="57"/>
        <v>0</v>
      </c>
      <c r="AD67" s="92">
        <f t="shared" si="72"/>
        <v>0</v>
      </c>
      <c r="AE67" s="309"/>
      <c r="AF67" s="309"/>
      <c r="AG67" s="64"/>
      <c r="AI67" s="271"/>
      <c r="AJ67" s="274"/>
      <c r="AK67" s="263">
        <f t="shared" si="59"/>
        <v>0</v>
      </c>
      <c r="AM67" s="64">
        <f t="shared" si="3"/>
        <v>0</v>
      </c>
      <c r="AN67" s="64">
        <f t="shared" si="4"/>
        <v>0</v>
      </c>
      <c r="AO67" s="64">
        <f t="shared" si="5"/>
        <v>0</v>
      </c>
    </row>
    <row r="68" spans="1:41" s="1" customFormat="1">
      <c r="A68" s="2">
        <v>6127</v>
      </c>
      <c r="B68" s="2" t="s">
        <v>76</v>
      </c>
      <c r="C68" s="46">
        <v>197</v>
      </c>
      <c r="D68" s="49">
        <f>C68/C$12</f>
        <v>5.8646661308088474E-3</v>
      </c>
      <c r="E68" s="46">
        <v>197</v>
      </c>
      <c r="F68" s="49">
        <f>E68/E$12</f>
        <v>7.5381628368644338E-3</v>
      </c>
      <c r="G68" s="46">
        <v>197</v>
      </c>
      <c r="H68" s="49">
        <f>G68/G$12</f>
        <v>4.5444084087980022E-3</v>
      </c>
      <c r="I68" s="46">
        <v>197</v>
      </c>
      <c r="J68" s="49">
        <f>I68/I$12</f>
        <v>5.1465888006669213E-3</v>
      </c>
      <c r="K68" s="46">
        <v>197</v>
      </c>
      <c r="L68" s="49">
        <f>K68/K$12</f>
        <v>5.6271356584771566E-3</v>
      </c>
      <c r="M68" s="46">
        <v>197</v>
      </c>
      <c r="N68" s="49">
        <f>M68/M$12</f>
        <v>3.9683995779815316E-3</v>
      </c>
      <c r="O68" s="46">
        <v>197</v>
      </c>
      <c r="P68" s="49">
        <f>O68/O$12</f>
        <v>6.2680992429579672E-3</v>
      </c>
      <c r="Q68" s="46">
        <v>197</v>
      </c>
      <c r="R68" s="49">
        <f>Q68/Q$12</f>
        <v>5.0478393979289061E-3</v>
      </c>
      <c r="S68" s="46">
        <v>197</v>
      </c>
      <c r="T68" s="49">
        <f>S68/S$12</f>
        <v>5.0108628589837275E-3</v>
      </c>
      <c r="U68" s="46">
        <v>197</v>
      </c>
      <c r="V68" s="49">
        <f>U68/U$12</f>
        <v>6.3172234142110546E-3</v>
      </c>
      <c r="W68" s="46">
        <v>197</v>
      </c>
      <c r="X68" s="49">
        <f>W68/W$12</f>
        <v>6.2089301764923725E-3</v>
      </c>
      <c r="Y68" s="46">
        <v>197</v>
      </c>
      <c r="Z68" s="49">
        <f>Y68/Y$12</f>
        <v>4.1100683570105094E-3</v>
      </c>
      <c r="AA68" s="105">
        <f t="shared" si="55"/>
        <v>2364</v>
      </c>
      <c r="AB68" s="108">
        <f t="shared" si="71"/>
        <v>5.2931154291909191E-3</v>
      </c>
      <c r="AC68" s="89">
        <f t="shared" si="57"/>
        <v>197</v>
      </c>
      <c r="AD68" s="92">
        <f t="shared" si="72"/>
        <v>5.2931154291909191E-3</v>
      </c>
      <c r="AE68" s="309">
        <v>41.6</v>
      </c>
      <c r="AF68" s="309"/>
      <c r="AG68" s="64"/>
      <c r="AI68" s="271"/>
      <c r="AJ68" s="274"/>
      <c r="AK68" s="263">
        <f t="shared" si="59"/>
        <v>12032.759999999997</v>
      </c>
      <c r="AM68" s="64">
        <f t="shared" si="3"/>
        <v>2364</v>
      </c>
      <c r="AN68" s="64">
        <f t="shared" si="4"/>
        <v>0</v>
      </c>
      <c r="AO68" s="64">
        <f t="shared" si="5"/>
        <v>1002.73</v>
      </c>
    </row>
    <row r="69" spans="1:41" s="1" customFormat="1">
      <c r="A69" s="2">
        <v>6129</v>
      </c>
      <c r="B69" s="2" t="s">
        <v>212</v>
      </c>
      <c r="C69" s="46"/>
      <c r="D69" s="49">
        <f t="shared" si="60"/>
        <v>0</v>
      </c>
      <c r="E69" s="46"/>
      <c r="F69" s="49">
        <f t="shared" si="73"/>
        <v>0</v>
      </c>
      <c r="G69" s="289"/>
      <c r="H69" s="49">
        <f t="shared" si="74"/>
        <v>0</v>
      </c>
      <c r="I69" s="46"/>
      <c r="J69" s="49">
        <f t="shared" si="75"/>
        <v>0</v>
      </c>
      <c r="K69" s="21"/>
      <c r="L69" s="49">
        <f t="shared" si="76"/>
        <v>0</v>
      </c>
      <c r="M69" s="21"/>
      <c r="N69" s="49">
        <f t="shared" si="77"/>
        <v>0</v>
      </c>
      <c r="O69" s="21"/>
      <c r="P69" s="49">
        <f t="shared" si="78"/>
        <v>0</v>
      </c>
      <c r="Q69" s="46"/>
      <c r="R69" s="49">
        <f t="shared" si="79"/>
        <v>0</v>
      </c>
      <c r="S69" s="46"/>
      <c r="T69" s="49">
        <f t="shared" si="80"/>
        <v>0</v>
      </c>
      <c r="U69" s="46"/>
      <c r="V69" s="49">
        <f t="shared" si="81"/>
        <v>0</v>
      </c>
      <c r="W69" s="46"/>
      <c r="X69" s="49">
        <f t="shared" si="82"/>
        <v>0</v>
      </c>
      <c r="Y69" s="46"/>
      <c r="Z69" s="49">
        <f t="shared" si="83"/>
        <v>0</v>
      </c>
      <c r="AA69" s="105">
        <f t="shared" si="55"/>
        <v>0</v>
      </c>
      <c r="AB69" s="108">
        <f t="shared" si="71"/>
        <v>0</v>
      </c>
      <c r="AC69" s="89">
        <f t="shared" si="57"/>
        <v>0</v>
      </c>
      <c r="AD69" s="92">
        <f t="shared" si="72"/>
        <v>0</v>
      </c>
      <c r="AE69" s="309"/>
      <c r="AF69" s="309"/>
      <c r="AG69" s="64"/>
      <c r="AI69" s="271"/>
      <c r="AJ69" s="274"/>
      <c r="AK69" s="263">
        <f t="shared" si="59"/>
        <v>0</v>
      </c>
      <c r="AM69" s="64">
        <f t="shared" si="3"/>
        <v>0</v>
      </c>
      <c r="AN69" s="64">
        <f t="shared" si="4"/>
        <v>0</v>
      </c>
      <c r="AO69" s="64">
        <f t="shared" si="5"/>
        <v>0</v>
      </c>
    </row>
    <row r="70" spans="1:41" s="289" customFormat="1">
      <c r="A70" s="2">
        <v>6131</v>
      </c>
      <c r="B70" s="2" t="s">
        <v>224</v>
      </c>
      <c r="C70" s="331"/>
      <c r="D70" s="108">
        <f t="shared" si="60"/>
        <v>0</v>
      </c>
      <c r="E70" s="331"/>
      <c r="F70" s="108">
        <f t="shared" si="60"/>
        <v>0</v>
      </c>
      <c r="H70" s="108">
        <f t="shared" si="60"/>
        <v>0</v>
      </c>
      <c r="I70" s="331"/>
      <c r="J70" s="108">
        <f t="shared" si="60"/>
        <v>0</v>
      </c>
      <c r="K70" s="331"/>
      <c r="L70" s="108">
        <f t="shared" si="60"/>
        <v>0</v>
      </c>
      <c r="M70" s="331"/>
      <c r="N70" s="108">
        <f t="shared" si="60"/>
        <v>0</v>
      </c>
      <c r="O70" s="331"/>
      <c r="P70" s="108">
        <f t="shared" si="60"/>
        <v>0</v>
      </c>
      <c r="Q70" s="331"/>
      <c r="R70" s="108">
        <f t="shared" si="60"/>
        <v>0</v>
      </c>
      <c r="S70" s="331"/>
      <c r="T70" s="108">
        <f t="shared" si="60"/>
        <v>0</v>
      </c>
      <c r="U70" s="331"/>
      <c r="V70" s="108">
        <f t="shared" si="60"/>
        <v>0</v>
      </c>
      <c r="W70" s="331"/>
      <c r="X70" s="108">
        <f t="shared" si="60"/>
        <v>0</v>
      </c>
      <c r="Y70" s="331"/>
      <c r="Z70" s="108">
        <f t="shared" si="60"/>
        <v>0</v>
      </c>
      <c r="AA70" s="105">
        <f t="shared" si="55"/>
        <v>0</v>
      </c>
      <c r="AB70" s="108">
        <f t="shared" si="60"/>
        <v>0</v>
      </c>
      <c r="AC70" s="89">
        <f t="shared" si="57"/>
        <v>0</v>
      </c>
      <c r="AD70" s="108">
        <f t="shared" si="60"/>
        <v>0</v>
      </c>
      <c r="AE70" s="309"/>
      <c r="AF70" s="309"/>
      <c r="AG70" s="64"/>
      <c r="AI70" s="271"/>
      <c r="AJ70" s="274"/>
      <c r="AK70" s="263"/>
      <c r="AM70" s="64"/>
      <c r="AN70" s="64"/>
      <c r="AO70" s="64"/>
    </row>
    <row r="71" spans="1:41" s="289" customFormat="1">
      <c r="A71" s="2">
        <v>6132</v>
      </c>
      <c r="B71" s="2" t="s">
        <v>225</v>
      </c>
      <c r="C71" s="331">
        <v>9</v>
      </c>
      <c r="D71" s="108">
        <f t="shared" si="60"/>
        <v>2.679289095293382E-4</v>
      </c>
      <c r="E71" s="331">
        <v>9</v>
      </c>
      <c r="F71" s="108">
        <f t="shared" si="60"/>
        <v>3.4438307376538022E-4</v>
      </c>
      <c r="G71" s="331">
        <v>9</v>
      </c>
      <c r="H71" s="108">
        <f t="shared" si="60"/>
        <v>2.0761256689940112E-4</v>
      </c>
      <c r="I71" s="331">
        <v>9</v>
      </c>
      <c r="J71" s="108">
        <f t="shared" si="60"/>
        <v>2.3512334622336192E-4</v>
      </c>
      <c r="K71" s="331">
        <v>9</v>
      </c>
      <c r="L71" s="108">
        <f t="shared" si="60"/>
        <v>2.5707726358525083E-4</v>
      </c>
      <c r="M71" s="331">
        <v>9</v>
      </c>
      <c r="N71" s="108">
        <f t="shared" si="60"/>
        <v>1.8129744264890245E-4</v>
      </c>
      <c r="O71" s="331">
        <v>9</v>
      </c>
      <c r="P71" s="108">
        <f t="shared" si="60"/>
        <v>2.8635986389148073E-4</v>
      </c>
      <c r="Q71" s="331">
        <v>9</v>
      </c>
      <c r="R71" s="108">
        <f t="shared" si="60"/>
        <v>2.3061195218964547E-4</v>
      </c>
      <c r="S71" s="331">
        <v>9</v>
      </c>
      <c r="T71" s="108">
        <f t="shared" si="60"/>
        <v>2.2892266868453578E-4</v>
      </c>
      <c r="U71" s="331">
        <v>9</v>
      </c>
      <c r="V71" s="108">
        <f t="shared" si="60"/>
        <v>2.8860411537004818E-4</v>
      </c>
      <c r="W71" s="331">
        <v>9</v>
      </c>
      <c r="X71" s="108">
        <f t="shared" si="60"/>
        <v>2.8365670857071753E-4</v>
      </c>
      <c r="Y71" s="331">
        <v>9</v>
      </c>
      <c r="Z71" s="108">
        <f t="shared" si="60"/>
        <v>1.8776962037103849E-4</v>
      </c>
      <c r="AA71" s="105">
        <f t="shared" si="55"/>
        <v>108</v>
      </c>
      <c r="AB71" s="108">
        <f t="shared" si="60"/>
        <v>2.4181745615593032E-4</v>
      </c>
      <c r="AC71" s="89">
        <f t="shared" si="57"/>
        <v>9</v>
      </c>
      <c r="AD71" s="108">
        <f t="shared" si="60"/>
        <v>2.4181745615593032E-4</v>
      </c>
      <c r="AE71" s="309"/>
      <c r="AF71" s="309"/>
      <c r="AG71" s="64"/>
      <c r="AI71" s="271"/>
      <c r="AJ71" s="274"/>
      <c r="AK71" s="263"/>
      <c r="AM71" s="64"/>
      <c r="AN71" s="64"/>
      <c r="AO71" s="64"/>
    </row>
    <row r="72" spans="1:41" s="289" customFormat="1">
      <c r="A72" s="2">
        <v>6133</v>
      </c>
      <c r="B72" s="2" t="s">
        <v>226</v>
      </c>
      <c r="C72" s="331">
        <v>25</v>
      </c>
      <c r="D72" s="108">
        <f t="shared" si="60"/>
        <v>7.4424697091482841E-4</v>
      </c>
      <c r="E72" s="331">
        <v>25</v>
      </c>
      <c r="F72" s="108">
        <f t="shared" si="60"/>
        <v>9.5661964934827841E-4</v>
      </c>
      <c r="G72" s="331">
        <v>25</v>
      </c>
      <c r="H72" s="108">
        <f t="shared" si="60"/>
        <v>5.7670157472055868E-4</v>
      </c>
      <c r="I72" s="331">
        <v>25</v>
      </c>
      <c r="J72" s="108">
        <f t="shared" si="60"/>
        <v>6.5312040617600525E-4</v>
      </c>
      <c r="K72" s="331">
        <v>25</v>
      </c>
      <c r="L72" s="108">
        <f t="shared" si="60"/>
        <v>7.1410350995902998E-4</v>
      </c>
      <c r="M72" s="331">
        <v>25</v>
      </c>
      <c r="N72" s="108">
        <f t="shared" si="60"/>
        <v>5.0360400735806235E-4</v>
      </c>
      <c r="O72" s="331">
        <v>25</v>
      </c>
      <c r="P72" s="108">
        <f t="shared" si="60"/>
        <v>7.9544406636522427E-4</v>
      </c>
      <c r="Q72" s="331">
        <v>25</v>
      </c>
      <c r="R72" s="108">
        <f t="shared" si="60"/>
        <v>6.4058875608234852E-4</v>
      </c>
      <c r="S72" s="331">
        <v>25</v>
      </c>
      <c r="T72" s="108">
        <f t="shared" si="60"/>
        <v>6.3589630190148824E-4</v>
      </c>
      <c r="U72" s="331">
        <v>25</v>
      </c>
      <c r="V72" s="108">
        <f t="shared" si="60"/>
        <v>8.0167809825013384E-4</v>
      </c>
      <c r="W72" s="331">
        <v>25</v>
      </c>
      <c r="X72" s="108">
        <f t="shared" si="60"/>
        <v>7.8793530158532651E-4</v>
      </c>
      <c r="Y72" s="331">
        <v>25</v>
      </c>
      <c r="Z72" s="108">
        <f t="shared" si="60"/>
        <v>5.2158227880844024E-4</v>
      </c>
      <c r="AA72" s="105">
        <f t="shared" si="55"/>
        <v>300</v>
      </c>
      <c r="AB72" s="108">
        <f t="shared" si="60"/>
        <v>6.7171515598869541E-4</v>
      </c>
      <c r="AC72" s="89">
        <f t="shared" si="57"/>
        <v>25</v>
      </c>
      <c r="AD72" s="108">
        <f t="shared" si="60"/>
        <v>6.7171515598869541E-4</v>
      </c>
      <c r="AE72" s="309"/>
      <c r="AF72" s="309"/>
      <c r="AG72" s="64"/>
      <c r="AI72" s="271"/>
      <c r="AJ72" s="274"/>
      <c r="AK72" s="263"/>
      <c r="AM72" s="64"/>
      <c r="AN72" s="64"/>
      <c r="AO72" s="64"/>
    </row>
    <row r="73" spans="1:41" s="289" customFormat="1">
      <c r="A73" s="2">
        <v>6134</v>
      </c>
      <c r="B73" s="2" t="s">
        <v>227</v>
      </c>
      <c r="C73" s="331"/>
      <c r="D73" s="108">
        <f t="shared" si="60"/>
        <v>0</v>
      </c>
      <c r="E73" s="331"/>
      <c r="F73" s="108">
        <f t="shared" si="60"/>
        <v>0</v>
      </c>
      <c r="H73" s="108">
        <f t="shared" si="60"/>
        <v>0</v>
      </c>
      <c r="I73" s="331"/>
      <c r="J73" s="108">
        <f t="shared" si="60"/>
        <v>0</v>
      </c>
      <c r="K73" s="331"/>
      <c r="L73" s="108">
        <f t="shared" si="60"/>
        <v>0</v>
      </c>
      <c r="M73" s="331"/>
      <c r="N73" s="108">
        <f t="shared" si="60"/>
        <v>0</v>
      </c>
      <c r="O73" s="331"/>
      <c r="P73" s="108">
        <f t="shared" si="60"/>
        <v>0</v>
      </c>
      <c r="Q73" s="331"/>
      <c r="R73" s="108">
        <f t="shared" si="60"/>
        <v>0</v>
      </c>
      <c r="S73" s="331"/>
      <c r="T73" s="108">
        <f t="shared" si="60"/>
        <v>0</v>
      </c>
      <c r="U73" s="331"/>
      <c r="V73" s="108">
        <f t="shared" si="60"/>
        <v>0</v>
      </c>
      <c r="W73" s="331"/>
      <c r="X73" s="108">
        <f t="shared" si="60"/>
        <v>0</v>
      </c>
      <c r="Y73" s="331"/>
      <c r="Z73" s="108">
        <f t="shared" si="60"/>
        <v>0</v>
      </c>
      <c r="AA73" s="105">
        <f t="shared" si="55"/>
        <v>0</v>
      </c>
      <c r="AB73" s="108">
        <f t="shared" si="60"/>
        <v>0</v>
      </c>
      <c r="AC73" s="89">
        <f t="shared" si="57"/>
        <v>0</v>
      </c>
      <c r="AD73" s="108">
        <f t="shared" si="60"/>
        <v>0</v>
      </c>
      <c r="AE73" s="309"/>
      <c r="AF73" s="309"/>
      <c r="AG73" s="64"/>
      <c r="AI73" s="271"/>
      <c r="AJ73" s="274"/>
      <c r="AK73" s="263"/>
      <c r="AM73" s="64"/>
      <c r="AN73" s="64"/>
      <c r="AO73" s="64"/>
    </row>
    <row r="74" spans="1:41" s="289" customFormat="1">
      <c r="A74" s="2">
        <v>6135</v>
      </c>
      <c r="B74" s="2" t="s">
        <v>228</v>
      </c>
      <c r="C74" s="331"/>
      <c r="D74" s="108"/>
      <c r="E74" s="46"/>
      <c r="F74" s="108"/>
      <c r="H74" s="108"/>
      <c r="I74" s="46"/>
      <c r="J74" s="108"/>
      <c r="K74" s="21"/>
      <c r="L74" s="108"/>
      <c r="M74" s="21"/>
      <c r="N74" s="108"/>
      <c r="O74" s="21"/>
      <c r="P74" s="108"/>
      <c r="Q74" s="46"/>
      <c r="R74" s="108"/>
      <c r="S74" s="46"/>
      <c r="T74" s="108"/>
      <c r="U74" s="46"/>
      <c r="V74" s="108"/>
      <c r="W74" s="46"/>
      <c r="X74" s="108"/>
      <c r="Y74" s="46"/>
      <c r="Z74" s="108"/>
      <c r="AA74" s="105">
        <f t="shared" si="55"/>
        <v>0</v>
      </c>
      <c r="AB74" s="108"/>
      <c r="AC74" s="89">
        <f t="shared" si="57"/>
        <v>0</v>
      </c>
      <c r="AD74" s="108"/>
      <c r="AE74" s="309"/>
      <c r="AF74" s="309"/>
      <c r="AG74" s="64"/>
      <c r="AI74" s="271"/>
      <c r="AJ74" s="274"/>
      <c r="AK74" s="263"/>
      <c r="AM74" s="64"/>
      <c r="AN74" s="64"/>
      <c r="AO74" s="64"/>
    </row>
    <row r="75" spans="1:41" s="289" customFormat="1">
      <c r="A75" s="2">
        <v>6136</v>
      </c>
      <c r="B75" s="2" t="s">
        <v>249</v>
      </c>
      <c r="C75" s="331">
        <f>354/12</f>
        <v>29.5</v>
      </c>
      <c r="D75" s="108">
        <f t="shared" ref="D75:Z75" si="84">C75/C$12</f>
        <v>8.7821142567949745E-4</v>
      </c>
      <c r="E75" s="331">
        <f>354/12</f>
        <v>29.5</v>
      </c>
      <c r="F75" s="108">
        <f t="shared" si="84"/>
        <v>1.1288111862309685E-3</v>
      </c>
      <c r="G75" s="331">
        <f>354/12</f>
        <v>29.5</v>
      </c>
      <c r="H75" s="108">
        <f t="shared" si="84"/>
        <v>6.8050785817025926E-4</v>
      </c>
      <c r="I75" s="331">
        <f>354/12</f>
        <v>29.5</v>
      </c>
      <c r="J75" s="108">
        <f t="shared" si="84"/>
        <v>7.7068207928768619E-4</v>
      </c>
      <c r="K75" s="331">
        <f>354/12</f>
        <v>29.5</v>
      </c>
      <c r="L75" s="108">
        <f t="shared" si="84"/>
        <v>8.4264214175165544E-4</v>
      </c>
      <c r="M75" s="331">
        <f>354/12</f>
        <v>29.5</v>
      </c>
      <c r="N75" s="108">
        <f t="shared" si="84"/>
        <v>5.9425272868251361E-4</v>
      </c>
      <c r="O75" s="331">
        <f>354/12</f>
        <v>29.5</v>
      </c>
      <c r="P75" s="108">
        <f t="shared" si="84"/>
        <v>9.3862399831096458E-4</v>
      </c>
      <c r="Q75" s="331">
        <f>354/12</f>
        <v>29.5</v>
      </c>
      <c r="R75" s="108">
        <f t="shared" si="84"/>
        <v>7.5589473217717122E-4</v>
      </c>
      <c r="S75" s="331">
        <f>354/12</f>
        <v>29.5</v>
      </c>
      <c r="T75" s="108">
        <f t="shared" si="84"/>
        <v>7.5035763624375614E-4</v>
      </c>
      <c r="U75" s="331">
        <f>354/12</f>
        <v>29.5</v>
      </c>
      <c r="V75" s="108">
        <f t="shared" si="84"/>
        <v>9.4598015593515793E-4</v>
      </c>
      <c r="W75" s="331">
        <f>354/12</f>
        <v>29.5</v>
      </c>
      <c r="X75" s="108">
        <f t="shared" si="84"/>
        <v>9.2976365587068524E-4</v>
      </c>
      <c r="Y75" s="331">
        <f>354/12</f>
        <v>29.5</v>
      </c>
      <c r="Z75" s="108">
        <f t="shared" si="84"/>
        <v>6.1546708899395952E-4</v>
      </c>
      <c r="AA75" s="105">
        <f t="shared" si="55"/>
        <v>354</v>
      </c>
      <c r="AB75" s="108">
        <f t="shared" si="60"/>
        <v>7.9262388406666049E-4</v>
      </c>
      <c r="AC75" s="89">
        <f t="shared" si="57"/>
        <v>29.5</v>
      </c>
      <c r="AD75" s="108">
        <f t="shared" si="60"/>
        <v>7.9262388406666049E-4</v>
      </c>
      <c r="AE75" s="309" t="s">
        <v>238</v>
      </c>
      <c r="AF75" s="309"/>
      <c r="AG75" s="64"/>
      <c r="AI75" s="271"/>
      <c r="AJ75" s="274"/>
      <c r="AK75" s="263"/>
      <c r="AM75" s="64"/>
      <c r="AN75" s="64"/>
      <c r="AO75" s="64"/>
    </row>
    <row r="76" spans="1:41" s="1" customFormat="1" ht="15.75" thickBot="1">
      <c r="A76" s="4">
        <v>6199</v>
      </c>
      <c r="B76" s="4" t="s">
        <v>23</v>
      </c>
      <c r="C76" s="56">
        <f>SUM(C42:C75)</f>
        <v>4436.9259999999995</v>
      </c>
      <c r="D76" s="332">
        <f t="shared" si="60"/>
        <v>0.13208674942692983</v>
      </c>
      <c r="E76" s="56">
        <f>SUM(E42:E75)</f>
        <v>4078.9184287085204</v>
      </c>
      <c r="F76" s="332">
        <f t="shared" si="60"/>
        <v>0.15607894067965503</v>
      </c>
      <c r="G76" s="56">
        <f>SUM(G42:G75)</f>
        <v>4787.9903499999991</v>
      </c>
      <c r="H76" s="332">
        <f t="shared" si="60"/>
        <v>0.11044966298367354</v>
      </c>
      <c r="I76" s="56">
        <f>SUM(I42:I75)</f>
        <v>4534.3805596279199</v>
      </c>
      <c r="J76" s="332">
        <f t="shared" si="60"/>
        <v>0.11845985891443077</v>
      </c>
      <c r="K76" s="56">
        <f>SUM(K42:K75)</f>
        <v>4480.395014499999</v>
      </c>
      <c r="L76" s="332">
        <f t="shared" si="60"/>
        <v>0.12797863223429554</v>
      </c>
      <c r="M76" s="56">
        <f>SUM(M42:M75)</f>
        <v>5411.3179223606003</v>
      </c>
      <c r="N76" s="332">
        <f t="shared" si="60"/>
        <v>0.1090064556315721</v>
      </c>
      <c r="O76" s="56">
        <f>SUM(O42:O75)</f>
        <v>7261.4977732491743</v>
      </c>
      <c r="P76" s="332">
        <f t="shared" si="60"/>
        <v>0.23104461266621376</v>
      </c>
      <c r="Q76" s="56">
        <f>SUM(Q42:Q75)</f>
        <v>5700.5809103852998</v>
      </c>
      <c r="R76" s="332">
        <f t="shared" si="60"/>
        <v>0.14606912137322003</v>
      </c>
      <c r="S76" s="56">
        <f>SUM(S42:S75)</f>
        <v>5714.9803119368489</v>
      </c>
      <c r="T76" s="332">
        <f t="shared" si="60"/>
        <v>0.14536539383201824</v>
      </c>
      <c r="U76" s="56">
        <f>SUM(U42:U75)</f>
        <v>5308.480324997704</v>
      </c>
      <c r="V76" s="332">
        <f t="shared" si="60"/>
        <v>0.17022769646169647</v>
      </c>
      <c r="W76" s="56">
        <f>SUM(W42:W75)</f>
        <v>5335.675668986144</v>
      </c>
      <c r="X76" s="332">
        <f t="shared" si="60"/>
        <v>0.16816668869616344</v>
      </c>
      <c r="Y76" s="56">
        <f>SUM(Y42:Y75)</f>
        <v>6145.8048147799745</v>
      </c>
      <c r="Z76" s="332">
        <f t="shared" si="60"/>
        <v>0.12822171521619291</v>
      </c>
      <c r="AA76" s="109">
        <f>SUM(AA42:AA75)</f>
        <v>63196.948079532187</v>
      </c>
      <c r="AB76" s="332">
        <f t="shared" si="60"/>
        <v>0.14150115945750816</v>
      </c>
      <c r="AC76" s="93">
        <f>SUM(AC42:AC75)</f>
        <v>5266.4123399610153</v>
      </c>
      <c r="AD76" s="332">
        <f t="shared" si="60"/>
        <v>0.14150115945750813</v>
      </c>
      <c r="AE76" s="310"/>
      <c r="AF76" s="310"/>
      <c r="AG76" s="64"/>
      <c r="AI76" s="271"/>
      <c r="AJ76" s="274"/>
      <c r="AK76" s="263">
        <f t="shared" si="59"/>
        <v>321672.46572481882</v>
      </c>
      <c r="AM76" s="64">
        <f t="shared" ref="AM76:AM148" si="85">C76+E76+G76+I76+K76+M76+O76+Q76+S76+U76+W76+Y76</f>
        <v>63196.948079532187</v>
      </c>
      <c r="AN76" s="64">
        <f t="shared" ref="AN76:AN148" si="86">AA76-AM76</f>
        <v>0</v>
      </c>
      <c r="AO76" s="64">
        <f t="shared" ref="AO76:AO148" si="87">Q76*5.09</f>
        <v>29015.956833861175</v>
      </c>
    </row>
    <row r="77" spans="1:41" s="1" customFormat="1" ht="15.75" thickTop="1">
      <c r="A77" s="2">
        <v>6201</v>
      </c>
      <c r="B77" s="2" t="s">
        <v>24</v>
      </c>
      <c r="C77" s="46">
        <v>2205</v>
      </c>
      <c r="D77" s="49">
        <f t="shared" ref="D77:D92" si="88">C77/C$12</f>
        <v>6.5642582834687865E-2</v>
      </c>
      <c r="E77" s="46">
        <v>2205</v>
      </c>
      <c r="F77" s="49">
        <f t="shared" ref="F77:F92" si="89">E77/E$12</f>
        <v>8.4373853072518157E-2</v>
      </c>
      <c r="G77" s="46">
        <v>2205</v>
      </c>
      <c r="H77" s="49">
        <f t="shared" ref="H77:H92" si="90">G77/G$12</f>
        <v>5.0865078890353278E-2</v>
      </c>
      <c r="I77" s="46">
        <v>2205</v>
      </c>
      <c r="J77" s="49">
        <f t="shared" ref="J77:J92" si="91">I77/I$12</f>
        <v>5.7605219824723664E-2</v>
      </c>
      <c r="K77" s="46">
        <v>2205</v>
      </c>
      <c r="L77" s="49">
        <f t="shared" ref="L77:L92" si="92">K77/K$12</f>
        <v>6.2983929578386444E-2</v>
      </c>
      <c r="M77" s="46">
        <v>2205</v>
      </c>
      <c r="N77" s="49">
        <f t="shared" ref="N77:N92" si="93">M77/M$12</f>
        <v>4.4417873448981099E-2</v>
      </c>
      <c r="O77" s="46">
        <v>2205</v>
      </c>
      <c r="P77" s="49">
        <f t="shared" ref="P77:P92" si="94">O77/O$12</f>
        <v>7.0158166653412776E-2</v>
      </c>
      <c r="Q77" s="46">
        <v>2205</v>
      </c>
      <c r="R77" s="49">
        <f t="shared" ref="R77:R92" si="95">Q77/Q$12</f>
        <v>5.6499928286463136E-2</v>
      </c>
      <c r="S77" s="46">
        <v>2205</v>
      </c>
      <c r="T77" s="49">
        <f t="shared" ref="T77:T129" si="96">S77/S$12</f>
        <v>5.6086053827711264E-2</v>
      </c>
      <c r="U77" s="46">
        <v>2205</v>
      </c>
      <c r="V77" s="49">
        <f t="shared" ref="V77:V92" si="97">U77/U$12</f>
        <v>7.0708008265661801E-2</v>
      </c>
      <c r="W77" s="46">
        <v>2205</v>
      </c>
      <c r="X77" s="49">
        <f t="shared" ref="X77:X92" si="98">W77/W$12</f>
        <v>6.9495893599825803E-2</v>
      </c>
      <c r="Y77" s="46">
        <v>2205</v>
      </c>
      <c r="Z77" s="49">
        <f t="shared" ref="Z77:Z129" si="99">Y77/Y$12</f>
        <v>4.6003556990904429E-2</v>
      </c>
      <c r="AA77" s="105">
        <f t="shared" ref="AA77:AA92" si="100">C77+E77+G77+I77+K77+M77+O77+Q77+S77+U77+W77+Y77</f>
        <v>26460</v>
      </c>
      <c r="AB77" s="108">
        <f t="shared" ref="AB77:AB129" si="101">AA77/AA$12</f>
        <v>5.924527675820293E-2</v>
      </c>
      <c r="AC77" s="89">
        <f t="shared" ref="AC77:AC92" si="102">AA77/12</f>
        <v>2205</v>
      </c>
      <c r="AD77" s="92">
        <f t="shared" ref="AD77:AD129" si="103">AC77/AC$12</f>
        <v>5.924527675820293E-2</v>
      </c>
      <c r="AE77" s="309"/>
      <c r="AF77" s="309"/>
      <c r="AG77" s="64"/>
      <c r="AI77" s="271"/>
      <c r="AJ77" s="274"/>
      <c r="AK77" s="263">
        <f t="shared" si="59"/>
        <v>134681.4</v>
      </c>
      <c r="AM77" s="64">
        <f t="shared" si="85"/>
        <v>26460</v>
      </c>
      <c r="AN77" s="64">
        <f t="shared" si="86"/>
        <v>0</v>
      </c>
      <c r="AO77" s="64">
        <f t="shared" si="87"/>
        <v>11223.449999999999</v>
      </c>
    </row>
    <row r="78" spans="1:41" s="1" customFormat="1">
      <c r="A78" s="2">
        <v>6202</v>
      </c>
      <c r="B78" s="2" t="s">
        <v>25</v>
      </c>
      <c r="C78" s="46">
        <v>0</v>
      </c>
      <c r="D78" s="49">
        <f t="shared" si="88"/>
        <v>0</v>
      </c>
      <c r="E78" s="46">
        <v>0</v>
      </c>
      <c r="F78" s="49">
        <f t="shared" si="89"/>
        <v>0</v>
      </c>
      <c r="G78" s="46">
        <v>0</v>
      </c>
      <c r="H78" s="49">
        <f t="shared" si="90"/>
        <v>0</v>
      </c>
      <c r="I78" s="46">
        <v>0</v>
      </c>
      <c r="J78" s="49">
        <f t="shared" si="91"/>
        <v>0</v>
      </c>
      <c r="K78" s="46">
        <v>0</v>
      </c>
      <c r="L78" s="49">
        <f t="shared" si="92"/>
        <v>0</v>
      </c>
      <c r="M78" s="46">
        <v>0</v>
      </c>
      <c r="N78" s="49">
        <f t="shared" si="93"/>
        <v>0</v>
      </c>
      <c r="O78" s="46">
        <v>0</v>
      </c>
      <c r="P78" s="49">
        <f t="shared" si="94"/>
        <v>0</v>
      </c>
      <c r="Q78" s="46">
        <v>0</v>
      </c>
      <c r="R78" s="49">
        <f t="shared" si="95"/>
        <v>0</v>
      </c>
      <c r="S78" s="46">
        <v>0</v>
      </c>
      <c r="T78" s="49">
        <f t="shared" si="96"/>
        <v>0</v>
      </c>
      <c r="U78" s="46">
        <v>0</v>
      </c>
      <c r="V78" s="49">
        <f t="shared" si="97"/>
        <v>0</v>
      </c>
      <c r="W78" s="46">
        <v>0</v>
      </c>
      <c r="X78" s="49">
        <f t="shared" si="98"/>
        <v>0</v>
      </c>
      <c r="Y78" s="46">
        <v>0</v>
      </c>
      <c r="Z78" s="49">
        <f t="shared" si="99"/>
        <v>0</v>
      </c>
      <c r="AA78" s="105">
        <f t="shared" si="100"/>
        <v>0</v>
      </c>
      <c r="AB78" s="108">
        <f t="shared" si="101"/>
        <v>0</v>
      </c>
      <c r="AC78" s="89">
        <f t="shared" si="102"/>
        <v>0</v>
      </c>
      <c r="AD78" s="92">
        <f t="shared" si="103"/>
        <v>0</v>
      </c>
      <c r="AE78" s="309"/>
      <c r="AF78" s="309"/>
      <c r="AG78" s="64"/>
      <c r="AI78" s="271"/>
      <c r="AJ78" s="274"/>
      <c r="AK78" s="263">
        <f t="shared" si="59"/>
        <v>0</v>
      </c>
      <c r="AM78" s="64">
        <f t="shared" si="85"/>
        <v>0</v>
      </c>
      <c r="AN78" s="64">
        <f t="shared" si="86"/>
        <v>0</v>
      </c>
      <c r="AO78" s="64">
        <f t="shared" si="87"/>
        <v>0</v>
      </c>
    </row>
    <row r="79" spans="1:41" s="1" customFormat="1">
      <c r="A79" s="2">
        <v>6203</v>
      </c>
      <c r="B79" s="2" t="s">
        <v>26</v>
      </c>
      <c r="C79" s="46">
        <v>245</v>
      </c>
      <c r="D79" s="49">
        <f t="shared" si="88"/>
        <v>7.2936203149653184E-3</v>
      </c>
      <c r="E79" s="46">
        <v>245</v>
      </c>
      <c r="F79" s="49">
        <f t="shared" si="89"/>
        <v>9.3748725636131278E-3</v>
      </c>
      <c r="G79" s="46">
        <v>245</v>
      </c>
      <c r="H79" s="49">
        <f t="shared" si="90"/>
        <v>5.651675432261475E-3</v>
      </c>
      <c r="I79" s="46">
        <v>245</v>
      </c>
      <c r="J79" s="49">
        <f t="shared" si="91"/>
        <v>6.4005799805248514E-3</v>
      </c>
      <c r="K79" s="46">
        <v>245</v>
      </c>
      <c r="L79" s="49">
        <f t="shared" si="92"/>
        <v>6.9982143975984941E-3</v>
      </c>
      <c r="M79" s="46">
        <v>245</v>
      </c>
      <c r="N79" s="49">
        <f t="shared" si="93"/>
        <v>4.9353192721090112E-3</v>
      </c>
      <c r="O79" s="46">
        <v>245</v>
      </c>
      <c r="P79" s="49">
        <f t="shared" si="94"/>
        <v>7.7953518503791975E-3</v>
      </c>
      <c r="Q79" s="46">
        <v>245</v>
      </c>
      <c r="R79" s="49">
        <f t="shared" si="95"/>
        <v>6.277769809607015E-3</v>
      </c>
      <c r="S79" s="46">
        <v>245</v>
      </c>
      <c r="T79" s="49">
        <f t="shared" si="96"/>
        <v>6.2317837586345851E-3</v>
      </c>
      <c r="U79" s="46">
        <v>245</v>
      </c>
      <c r="V79" s="49">
        <f t="shared" si="97"/>
        <v>7.8564453628513116E-3</v>
      </c>
      <c r="W79" s="46">
        <v>245</v>
      </c>
      <c r="X79" s="49">
        <f t="shared" si="98"/>
        <v>7.7217659555361999E-3</v>
      </c>
      <c r="Y79" s="46">
        <v>245</v>
      </c>
      <c r="Z79" s="49">
        <f t="shared" si="99"/>
        <v>5.1115063323227145E-3</v>
      </c>
      <c r="AA79" s="105">
        <f t="shared" si="100"/>
        <v>2940</v>
      </c>
      <c r="AB79" s="108">
        <f t="shared" si="101"/>
        <v>6.5828085286892147E-3</v>
      </c>
      <c r="AC79" s="89">
        <f t="shared" si="102"/>
        <v>245</v>
      </c>
      <c r="AD79" s="92">
        <f t="shared" si="103"/>
        <v>6.5828085286892147E-3</v>
      </c>
      <c r="AE79" s="309"/>
      <c r="AF79" s="309"/>
      <c r="AG79" s="64"/>
      <c r="AI79" s="271"/>
      <c r="AJ79" s="274"/>
      <c r="AK79" s="263">
        <f t="shared" si="59"/>
        <v>14964.599999999997</v>
      </c>
      <c r="AM79" s="64">
        <f t="shared" si="85"/>
        <v>2940</v>
      </c>
      <c r="AN79" s="64">
        <f t="shared" si="86"/>
        <v>0</v>
      </c>
      <c r="AO79" s="64">
        <f t="shared" si="87"/>
        <v>1247.05</v>
      </c>
    </row>
    <row r="80" spans="1:41" s="1" customFormat="1">
      <c r="A80" s="2">
        <v>6204</v>
      </c>
      <c r="B80" s="2" t="s">
        <v>27</v>
      </c>
      <c r="C80" s="46"/>
      <c r="D80" s="49">
        <f t="shared" si="88"/>
        <v>0</v>
      </c>
      <c r="E80" s="46"/>
      <c r="F80" s="49">
        <f t="shared" si="89"/>
        <v>0</v>
      </c>
      <c r="G80" s="46"/>
      <c r="H80" s="49">
        <f t="shared" si="90"/>
        <v>0</v>
      </c>
      <c r="I80" s="46"/>
      <c r="J80" s="49">
        <f t="shared" si="91"/>
        <v>0</v>
      </c>
      <c r="K80" s="46"/>
      <c r="L80" s="49">
        <f t="shared" si="92"/>
        <v>0</v>
      </c>
      <c r="M80" s="46"/>
      <c r="N80" s="49">
        <f t="shared" si="93"/>
        <v>0</v>
      </c>
      <c r="O80" s="46"/>
      <c r="P80" s="49">
        <f t="shared" si="94"/>
        <v>0</v>
      </c>
      <c r="Q80" s="46"/>
      <c r="R80" s="49">
        <f t="shared" si="95"/>
        <v>0</v>
      </c>
      <c r="S80" s="46"/>
      <c r="T80" s="49">
        <f t="shared" si="96"/>
        <v>0</v>
      </c>
      <c r="U80" s="46"/>
      <c r="V80" s="49">
        <f t="shared" si="97"/>
        <v>0</v>
      </c>
      <c r="W80" s="46"/>
      <c r="X80" s="49">
        <f t="shared" si="98"/>
        <v>0</v>
      </c>
      <c r="Y80" s="46"/>
      <c r="Z80" s="49">
        <f t="shared" si="99"/>
        <v>0</v>
      </c>
      <c r="AA80" s="105">
        <f t="shared" si="100"/>
        <v>0</v>
      </c>
      <c r="AB80" s="108">
        <f t="shared" si="101"/>
        <v>0</v>
      </c>
      <c r="AC80" s="89">
        <f t="shared" si="102"/>
        <v>0</v>
      </c>
      <c r="AD80" s="92">
        <f t="shared" si="103"/>
        <v>0</v>
      </c>
      <c r="AE80" s="309"/>
      <c r="AF80" s="309"/>
      <c r="AG80" s="64"/>
      <c r="AI80" s="271"/>
      <c r="AJ80" s="274"/>
      <c r="AK80" s="263">
        <f t="shared" si="59"/>
        <v>0</v>
      </c>
      <c r="AM80" s="64">
        <f t="shared" si="85"/>
        <v>0</v>
      </c>
      <c r="AN80" s="64">
        <f t="shared" si="86"/>
        <v>0</v>
      </c>
      <c r="AO80" s="64">
        <f t="shared" si="87"/>
        <v>0</v>
      </c>
    </row>
    <row r="81" spans="1:41" s="1" customFormat="1">
      <c r="A81" s="2">
        <v>6205</v>
      </c>
      <c r="B81" s="2" t="s">
        <v>28</v>
      </c>
      <c r="C81" s="46"/>
      <c r="D81" s="49">
        <f t="shared" si="88"/>
        <v>0</v>
      </c>
      <c r="E81" s="46"/>
      <c r="F81" s="49">
        <f t="shared" si="89"/>
        <v>0</v>
      </c>
      <c r="G81" s="46"/>
      <c r="H81" s="49">
        <f t="shared" si="90"/>
        <v>0</v>
      </c>
      <c r="I81" s="46"/>
      <c r="J81" s="49">
        <f t="shared" si="91"/>
        <v>0</v>
      </c>
      <c r="K81" s="46"/>
      <c r="L81" s="49">
        <f t="shared" si="92"/>
        <v>0</v>
      </c>
      <c r="M81" s="46"/>
      <c r="N81" s="49">
        <f t="shared" si="93"/>
        <v>0</v>
      </c>
      <c r="O81" s="46"/>
      <c r="P81" s="49">
        <f t="shared" si="94"/>
        <v>0</v>
      </c>
      <c r="Q81" s="46"/>
      <c r="R81" s="49">
        <f t="shared" si="95"/>
        <v>0</v>
      </c>
      <c r="S81" s="46"/>
      <c r="T81" s="49">
        <f t="shared" si="96"/>
        <v>0</v>
      </c>
      <c r="U81" s="46"/>
      <c r="V81" s="49">
        <f t="shared" si="97"/>
        <v>0</v>
      </c>
      <c r="W81" s="46"/>
      <c r="X81" s="49">
        <f t="shared" si="98"/>
        <v>0</v>
      </c>
      <c r="Y81" s="46"/>
      <c r="Z81" s="49">
        <f t="shared" si="99"/>
        <v>0</v>
      </c>
      <c r="AA81" s="105">
        <f t="shared" si="100"/>
        <v>0</v>
      </c>
      <c r="AB81" s="108">
        <f t="shared" si="101"/>
        <v>0</v>
      </c>
      <c r="AC81" s="89">
        <f t="shared" si="102"/>
        <v>0</v>
      </c>
      <c r="AD81" s="92">
        <f t="shared" si="103"/>
        <v>0</v>
      </c>
      <c r="AE81" s="309"/>
      <c r="AF81" s="309"/>
      <c r="AG81" s="64"/>
      <c r="AI81" s="271"/>
      <c r="AJ81" s="274"/>
      <c r="AK81" s="263">
        <f t="shared" ref="AK81:AK122" si="104">C81*5.09+E81*5.09+G81*5.09+I81*5.09+K81*5.09+M81*5.09+O81*5.09+Q81*5.09+S81*5.09+U81*5.09+W81*5.09+Y81*5.09</f>
        <v>0</v>
      </c>
      <c r="AM81" s="64">
        <f t="shared" si="85"/>
        <v>0</v>
      </c>
      <c r="AN81" s="64">
        <f t="shared" si="86"/>
        <v>0</v>
      </c>
      <c r="AO81" s="64">
        <f t="shared" si="87"/>
        <v>0</v>
      </c>
    </row>
    <row r="82" spans="1:41" s="1" customFormat="1">
      <c r="A82" s="2">
        <v>6206</v>
      </c>
      <c r="B82" s="2" t="s">
        <v>193</v>
      </c>
      <c r="C82" s="46">
        <v>54.57</v>
      </c>
      <c r="D82" s="49">
        <f t="shared" si="88"/>
        <v>1.6245422881128874E-3</v>
      </c>
      <c r="E82" s="46">
        <v>54.57</v>
      </c>
      <c r="F82" s="49">
        <f t="shared" si="89"/>
        <v>2.088109370597422E-3</v>
      </c>
      <c r="G82" s="46">
        <v>54.57</v>
      </c>
      <c r="H82" s="49">
        <f t="shared" si="90"/>
        <v>1.2588241973000354E-3</v>
      </c>
      <c r="I82" s="46">
        <v>54.57</v>
      </c>
      <c r="J82" s="49">
        <f t="shared" si="91"/>
        <v>1.4256312226009844E-3</v>
      </c>
      <c r="K82" s="46">
        <v>54.57</v>
      </c>
      <c r="L82" s="49">
        <f t="shared" si="92"/>
        <v>1.5587451415385706E-3</v>
      </c>
      <c r="M82" s="46">
        <v>54.57</v>
      </c>
      <c r="N82" s="49">
        <f t="shared" si="93"/>
        <v>1.0992668272611786E-3</v>
      </c>
      <c r="O82" s="46">
        <v>54.57</v>
      </c>
      <c r="P82" s="49">
        <f t="shared" si="94"/>
        <v>1.7362953080620116E-3</v>
      </c>
      <c r="Q82" s="46">
        <v>54.57</v>
      </c>
      <c r="R82" s="49">
        <f t="shared" si="95"/>
        <v>1.3982771367765502E-3</v>
      </c>
      <c r="S82" s="46">
        <v>54.57</v>
      </c>
      <c r="T82" s="49">
        <f t="shared" si="96"/>
        <v>1.3880344477905687E-3</v>
      </c>
      <c r="U82" s="46">
        <v>54.57</v>
      </c>
      <c r="V82" s="49">
        <f t="shared" si="97"/>
        <v>1.7499029528603922E-3</v>
      </c>
      <c r="W82" s="46">
        <v>54.57</v>
      </c>
      <c r="X82" s="49">
        <f t="shared" si="98"/>
        <v>1.7199051763004507E-3</v>
      </c>
      <c r="Y82" s="46">
        <v>54.57</v>
      </c>
      <c r="Z82" s="49">
        <f t="shared" si="99"/>
        <v>1.1385097981830633E-3</v>
      </c>
      <c r="AA82" s="105">
        <f t="shared" si="100"/>
        <v>654.84000000000015</v>
      </c>
      <c r="AB82" s="108">
        <f t="shared" si="101"/>
        <v>1.4662198424921246E-3</v>
      </c>
      <c r="AC82" s="89">
        <f t="shared" si="102"/>
        <v>54.570000000000014</v>
      </c>
      <c r="AD82" s="92">
        <f t="shared" si="103"/>
        <v>1.4662198424921246E-3</v>
      </c>
      <c r="AE82" s="309"/>
      <c r="AF82" s="309"/>
      <c r="AG82" s="64"/>
      <c r="AI82" s="271"/>
      <c r="AJ82" s="274"/>
      <c r="AK82" s="263">
        <f t="shared" si="104"/>
        <v>3333.135600000001</v>
      </c>
      <c r="AM82" s="64">
        <f t="shared" si="85"/>
        <v>654.84000000000015</v>
      </c>
      <c r="AN82" s="64">
        <f t="shared" si="86"/>
        <v>0</v>
      </c>
      <c r="AO82" s="64">
        <f t="shared" si="87"/>
        <v>277.76130000000001</v>
      </c>
    </row>
    <row r="83" spans="1:41" s="1" customFormat="1">
      <c r="A83" s="2">
        <v>6207</v>
      </c>
      <c r="B83" s="2" t="s">
        <v>194</v>
      </c>
      <c r="C83" s="46"/>
      <c r="D83" s="49">
        <f t="shared" si="88"/>
        <v>0</v>
      </c>
      <c r="E83" s="46"/>
      <c r="F83" s="49">
        <f t="shared" si="89"/>
        <v>0</v>
      </c>
      <c r="G83" s="46"/>
      <c r="H83" s="49">
        <f t="shared" si="90"/>
        <v>0</v>
      </c>
      <c r="I83" s="46"/>
      <c r="J83" s="49">
        <f t="shared" si="91"/>
        <v>0</v>
      </c>
      <c r="K83" s="46"/>
      <c r="L83" s="49">
        <f t="shared" si="92"/>
        <v>0</v>
      </c>
      <c r="M83" s="46"/>
      <c r="N83" s="49">
        <f t="shared" si="93"/>
        <v>0</v>
      </c>
      <c r="O83" s="46"/>
      <c r="P83" s="49">
        <f t="shared" si="94"/>
        <v>0</v>
      </c>
      <c r="Q83" s="46"/>
      <c r="R83" s="49">
        <f t="shared" si="95"/>
        <v>0</v>
      </c>
      <c r="S83" s="46"/>
      <c r="T83" s="49">
        <f t="shared" si="96"/>
        <v>0</v>
      </c>
      <c r="U83" s="46"/>
      <c r="V83" s="49">
        <f t="shared" si="97"/>
        <v>0</v>
      </c>
      <c r="W83" s="46"/>
      <c r="X83" s="49">
        <f t="shared" si="98"/>
        <v>0</v>
      </c>
      <c r="Y83" s="46"/>
      <c r="Z83" s="49">
        <f t="shared" si="99"/>
        <v>0</v>
      </c>
      <c r="AA83" s="105">
        <f t="shared" si="100"/>
        <v>0</v>
      </c>
      <c r="AB83" s="108">
        <f t="shared" si="101"/>
        <v>0</v>
      </c>
      <c r="AC83" s="89">
        <f t="shared" si="102"/>
        <v>0</v>
      </c>
      <c r="AD83" s="92">
        <f t="shared" si="103"/>
        <v>0</v>
      </c>
      <c r="AE83" s="309"/>
      <c r="AF83" s="309"/>
      <c r="AG83" s="64"/>
      <c r="AI83" s="271"/>
      <c r="AJ83" s="274"/>
      <c r="AK83" s="263">
        <f t="shared" si="104"/>
        <v>0</v>
      </c>
      <c r="AM83" s="64">
        <f t="shared" si="85"/>
        <v>0</v>
      </c>
      <c r="AN83" s="64">
        <f t="shared" si="86"/>
        <v>0</v>
      </c>
      <c r="AO83" s="64">
        <f t="shared" si="87"/>
        <v>0</v>
      </c>
    </row>
    <row r="84" spans="1:41" s="1" customFormat="1">
      <c r="A84" s="2">
        <v>6208</v>
      </c>
      <c r="B84" s="2" t="s">
        <v>195</v>
      </c>
      <c r="C84" s="46"/>
      <c r="D84" s="49">
        <f t="shared" si="88"/>
        <v>0</v>
      </c>
      <c r="E84" s="46"/>
      <c r="F84" s="49">
        <f t="shared" si="89"/>
        <v>0</v>
      </c>
      <c r="G84" s="46"/>
      <c r="H84" s="49">
        <f t="shared" si="90"/>
        <v>0</v>
      </c>
      <c r="I84" s="46"/>
      <c r="J84" s="49">
        <f t="shared" si="91"/>
        <v>0</v>
      </c>
      <c r="K84" s="46"/>
      <c r="L84" s="49">
        <f t="shared" si="92"/>
        <v>0</v>
      </c>
      <c r="M84" s="46"/>
      <c r="N84" s="49">
        <f t="shared" si="93"/>
        <v>0</v>
      </c>
      <c r="O84" s="46"/>
      <c r="P84" s="49">
        <f t="shared" si="94"/>
        <v>0</v>
      </c>
      <c r="Q84" s="46"/>
      <c r="R84" s="49">
        <f t="shared" si="95"/>
        <v>0</v>
      </c>
      <c r="S84" s="46"/>
      <c r="T84" s="49">
        <f t="shared" si="96"/>
        <v>0</v>
      </c>
      <c r="U84" s="46"/>
      <c r="V84" s="49">
        <f t="shared" si="97"/>
        <v>0</v>
      </c>
      <c r="W84" s="46"/>
      <c r="X84" s="49">
        <f t="shared" si="98"/>
        <v>0</v>
      </c>
      <c r="Y84" s="46"/>
      <c r="Z84" s="49">
        <f t="shared" si="99"/>
        <v>0</v>
      </c>
      <c r="AA84" s="105">
        <f t="shared" si="100"/>
        <v>0</v>
      </c>
      <c r="AB84" s="108">
        <f t="shared" si="101"/>
        <v>0</v>
      </c>
      <c r="AC84" s="89">
        <f t="shared" si="102"/>
        <v>0</v>
      </c>
      <c r="AD84" s="92">
        <f t="shared" si="103"/>
        <v>0</v>
      </c>
      <c r="AE84" s="309"/>
      <c r="AF84" s="309"/>
      <c r="AG84" s="64"/>
      <c r="AI84" s="271"/>
      <c r="AJ84" s="274"/>
      <c r="AK84" s="263">
        <f t="shared" si="104"/>
        <v>0</v>
      </c>
      <c r="AM84" s="64">
        <f t="shared" si="85"/>
        <v>0</v>
      </c>
      <c r="AN84" s="64">
        <f t="shared" si="86"/>
        <v>0</v>
      </c>
      <c r="AO84" s="64">
        <f t="shared" si="87"/>
        <v>0</v>
      </c>
    </row>
    <row r="85" spans="1:41" s="1" customFormat="1">
      <c r="A85" s="2">
        <v>6209</v>
      </c>
      <c r="B85" s="2" t="s">
        <v>29</v>
      </c>
      <c r="C85" s="46">
        <v>95.28</v>
      </c>
      <c r="D85" s="49">
        <f t="shared" si="88"/>
        <v>2.8364740555505939E-3</v>
      </c>
      <c r="E85" s="46">
        <v>95.28</v>
      </c>
      <c r="F85" s="49">
        <f t="shared" si="89"/>
        <v>3.6458688075961588E-3</v>
      </c>
      <c r="G85" s="46">
        <v>95.28</v>
      </c>
      <c r="H85" s="49">
        <f t="shared" si="90"/>
        <v>2.1979250415749933E-3</v>
      </c>
      <c r="I85" s="46">
        <v>95.28</v>
      </c>
      <c r="J85" s="49">
        <f t="shared" si="91"/>
        <v>2.4891724920179915E-3</v>
      </c>
      <c r="K85" s="46">
        <v>95.28</v>
      </c>
      <c r="L85" s="49">
        <f t="shared" si="92"/>
        <v>2.7215912971558552E-3</v>
      </c>
      <c r="M85" s="46">
        <v>95.28</v>
      </c>
      <c r="N85" s="49">
        <f t="shared" si="93"/>
        <v>1.9193355928430473E-3</v>
      </c>
      <c r="O85" s="46">
        <v>95.28</v>
      </c>
      <c r="P85" s="49">
        <f t="shared" si="94"/>
        <v>3.0315964257311427E-3</v>
      </c>
      <c r="Q85" s="46">
        <v>95.28</v>
      </c>
      <c r="R85" s="49">
        <f t="shared" si="95"/>
        <v>2.4414118671810467E-3</v>
      </c>
      <c r="S85" s="46">
        <v>95.28</v>
      </c>
      <c r="T85" s="49">
        <f t="shared" si="96"/>
        <v>2.4235279858069521E-3</v>
      </c>
      <c r="U85" s="46">
        <v>95.28</v>
      </c>
      <c r="V85" s="49">
        <f t="shared" si="97"/>
        <v>3.0553555680509102E-3</v>
      </c>
      <c r="W85" s="46">
        <v>95.28</v>
      </c>
      <c r="X85" s="49">
        <f t="shared" si="98"/>
        <v>3.0029790214019963E-3</v>
      </c>
      <c r="Y85" s="46">
        <v>95.28</v>
      </c>
      <c r="Z85" s="49">
        <f t="shared" si="99"/>
        <v>1.9878543809947274E-3</v>
      </c>
      <c r="AA85" s="105">
        <f t="shared" si="100"/>
        <v>1143.3599999999999</v>
      </c>
      <c r="AB85" s="108">
        <f t="shared" si="101"/>
        <v>2.5600408025041156E-3</v>
      </c>
      <c r="AC85" s="89">
        <f t="shared" si="102"/>
        <v>95.279999999999987</v>
      </c>
      <c r="AD85" s="92">
        <f t="shared" si="103"/>
        <v>2.5600408025041152E-3</v>
      </c>
      <c r="AE85" s="309" t="s">
        <v>234</v>
      </c>
      <c r="AF85" s="309"/>
      <c r="AG85" s="64"/>
      <c r="AI85" s="271"/>
      <c r="AJ85" s="274"/>
      <c r="AK85" s="263">
        <f t="shared" si="104"/>
        <v>5819.7023999999992</v>
      </c>
      <c r="AM85" s="64">
        <f t="shared" si="85"/>
        <v>1143.3599999999999</v>
      </c>
      <c r="AN85" s="64">
        <f t="shared" si="86"/>
        <v>0</v>
      </c>
      <c r="AO85" s="64">
        <f t="shared" si="87"/>
        <v>484.97519999999997</v>
      </c>
    </row>
    <row r="86" spans="1:41" s="1" customFormat="1">
      <c r="A86" s="2">
        <v>6210</v>
      </c>
      <c r="B86" s="2" t="s">
        <v>30</v>
      </c>
      <c r="C86" s="46"/>
      <c r="D86" s="49">
        <f t="shared" si="88"/>
        <v>0</v>
      </c>
      <c r="E86" s="46"/>
      <c r="F86" s="49">
        <f t="shared" si="89"/>
        <v>0</v>
      </c>
      <c r="G86" s="46"/>
      <c r="H86" s="49">
        <f t="shared" si="90"/>
        <v>0</v>
      </c>
      <c r="I86" s="46"/>
      <c r="J86" s="49">
        <f t="shared" si="91"/>
        <v>0</v>
      </c>
      <c r="K86" s="46"/>
      <c r="L86" s="49">
        <f t="shared" si="92"/>
        <v>0</v>
      </c>
      <c r="M86" s="46"/>
      <c r="N86" s="49">
        <f t="shared" si="93"/>
        <v>0</v>
      </c>
      <c r="O86" s="46"/>
      <c r="P86" s="49">
        <f t="shared" si="94"/>
        <v>0</v>
      </c>
      <c r="Q86" s="46"/>
      <c r="R86" s="49">
        <f t="shared" si="95"/>
        <v>0</v>
      </c>
      <c r="S86" s="46"/>
      <c r="T86" s="49">
        <f t="shared" si="96"/>
        <v>0</v>
      </c>
      <c r="U86" s="46"/>
      <c r="V86" s="49">
        <f t="shared" si="97"/>
        <v>0</v>
      </c>
      <c r="W86" s="46"/>
      <c r="X86" s="49">
        <f t="shared" si="98"/>
        <v>0</v>
      </c>
      <c r="Y86" s="46"/>
      <c r="Z86" s="49">
        <f t="shared" si="99"/>
        <v>0</v>
      </c>
      <c r="AA86" s="105">
        <f t="shared" si="100"/>
        <v>0</v>
      </c>
      <c r="AB86" s="108">
        <f t="shared" si="101"/>
        <v>0</v>
      </c>
      <c r="AC86" s="89">
        <f t="shared" si="102"/>
        <v>0</v>
      </c>
      <c r="AD86" s="92">
        <f t="shared" si="103"/>
        <v>0</v>
      </c>
      <c r="AE86" s="309"/>
      <c r="AF86" s="309"/>
      <c r="AG86" s="64"/>
      <c r="AI86" s="271"/>
      <c r="AJ86" s="274"/>
      <c r="AK86" s="263">
        <f t="shared" si="104"/>
        <v>0</v>
      </c>
      <c r="AM86" s="64">
        <f t="shared" si="85"/>
        <v>0</v>
      </c>
      <c r="AN86" s="64">
        <f t="shared" si="86"/>
        <v>0</v>
      </c>
      <c r="AO86" s="64">
        <f t="shared" si="87"/>
        <v>0</v>
      </c>
    </row>
    <row r="87" spans="1:41" s="1" customFormat="1">
      <c r="A87" s="2">
        <v>6211</v>
      </c>
      <c r="B87" s="2" t="s">
        <v>31</v>
      </c>
      <c r="C87" s="46"/>
      <c r="D87" s="49">
        <f t="shared" si="88"/>
        <v>0</v>
      </c>
      <c r="E87" s="46"/>
      <c r="F87" s="49">
        <f t="shared" si="89"/>
        <v>0</v>
      </c>
      <c r="G87" s="46"/>
      <c r="H87" s="49">
        <f t="shared" si="90"/>
        <v>0</v>
      </c>
      <c r="I87" s="46"/>
      <c r="J87" s="49">
        <f t="shared" si="91"/>
        <v>0</v>
      </c>
      <c r="K87" s="46"/>
      <c r="L87" s="49">
        <f t="shared" si="92"/>
        <v>0</v>
      </c>
      <c r="M87" s="46"/>
      <c r="N87" s="49">
        <f t="shared" si="93"/>
        <v>0</v>
      </c>
      <c r="O87" s="46"/>
      <c r="P87" s="49">
        <f t="shared" si="94"/>
        <v>0</v>
      </c>
      <c r="Q87" s="46"/>
      <c r="R87" s="49">
        <f t="shared" si="95"/>
        <v>0</v>
      </c>
      <c r="S87" s="46"/>
      <c r="T87" s="49">
        <f t="shared" si="96"/>
        <v>0</v>
      </c>
      <c r="U87" s="46"/>
      <c r="V87" s="49">
        <f t="shared" si="97"/>
        <v>0</v>
      </c>
      <c r="W87" s="46"/>
      <c r="X87" s="49">
        <f t="shared" si="98"/>
        <v>0</v>
      </c>
      <c r="Y87" s="46"/>
      <c r="Z87" s="49">
        <f t="shared" si="99"/>
        <v>0</v>
      </c>
      <c r="AA87" s="105">
        <f t="shared" si="100"/>
        <v>0</v>
      </c>
      <c r="AB87" s="108">
        <f t="shared" si="101"/>
        <v>0</v>
      </c>
      <c r="AC87" s="89">
        <f t="shared" si="102"/>
        <v>0</v>
      </c>
      <c r="AD87" s="92">
        <f t="shared" si="103"/>
        <v>0</v>
      </c>
      <c r="AE87" s="309"/>
      <c r="AF87" s="309"/>
      <c r="AG87" s="64"/>
      <c r="AI87" s="271"/>
      <c r="AJ87" s="274"/>
      <c r="AK87" s="263">
        <f t="shared" si="104"/>
        <v>0</v>
      </c>
      <c r="AM87" s="64">
        <f t="shared" si="85"/>
        <v>0</v>
      </c>
      <c r="AN87" s="64">
        <f t="shared" si="86"/>
        <v>0</v>
      </c>
      <c r="AO87" s="64">
        <f t="shared" si="87"/>
        <v>0</v>
      </c>
    </row>
    <row r="88" spans="1:41" s="1" customFormat="1">
      <c r="A88" s="2">
        <v>6212</v>
      </c>
      <c r="B88" s="2" t="s">
        <v>32</v>
      </c>
      <c r="C88" s="55">
        <v>25</v>
      </c>
      <c r="D88" s="49">
        <f t="shared" si="88"/>
        <v>7.4424697091482841E-4</v>
      </c>
      <c r="E88" s="55">
        <v>25</v>
      </c>
      <c r="F88" s="49">
        <f t="shared" si="89"/>
        <v>9.5661964934827841E-4</v>
      </c>
      <c r="G88" s="55">
        <v>25</v>
      </c>
      <c r="H88" s="49">
        <f t="shared" si="90"/>
        <v>5.7670157472055868E-4</v>
      </c>
      <c r="I88" s="55">
        <v>25</v>
      </c>
      <c r="J88" s="49">
        <f t="shared" si="91"/>
        <v>6.5312040617600525E-4</v>
      </c>
      <c r="K88" s="55">
        <v>25</v>
      </c>
      <c r="L88" s="49">
        <f t="shared" si="92"/>
        <v>7.1410350995902998E-4</v>
      </c>
      <c r="M88" s="55">
        <v>25</v>
      </c>
      <c r="N88" s="49">
        <f t="shared" si="93"/>
        <v>5.0360400735806235E-4</v>
      </c>
      <c r="O88" s="55">
        <v>25</v>
      </c>
      <c r="P88" s="49">
        <f t="shared" si="94"/>
        <v>7.9544406636522427E-4</v>
      </c>
      <c r="Q88" s="55">
        <v>25</v>
      </c>
      <c r="R88" s="49">
        <f t="shared" si="95"/>
        <v>6.4058875608234852E-4</v>
      </c>
      <c r="S88" s="55">
        <v>25</v>
      </c>
      <c r="T88" s="49">
        <f t="shared" si="96"/>
        <v>6.3589630190148824E-4</v>
      </c>
      <c r="U88" s="55">
        <v>25</v>
      </c>
      <c r="V88" s="49">
        <f t="shared" si="97"/>
        <v>8.0167809825013384E-4</v>
      </c>
      <c r="W88" s="55">
        <v>25</v>
      </c>
      <c r="X88" s="49">
        <f t="shared" si="98"/>
        <v>7.8793530158532651E-4</v>
      </c>
      <c r="Y88" s="55">
        <v>25</v>
      </c>
      <c r="Z88" s="49">
        <f t="shared" si="99"/>
        <v>5.2158227880844024E-4</v>
      </c>
      <c r="AA88" s="105">
        <f t="shared" si="100"/>
        <v>300</v>
      </c>
      <c r="AB88" s="108">
        <f t="shared" si="101"/>
        <v>6.7171515598869541E-4</v>
      </c>
      <c r="AC88" s="89">
        <f t="shared" si="102"/>
        <v>25</v>
      </c>
      <c r="AD88" s="92">
        <f t="shared" si="103"/>
        <v>6.7171515598869541E-4</v>
      </c>
      <c r="AE88" s="309"/>
      <c r="AF88" s="309"/>
      <c r="AG88" s="64"/>
      <c r="AI88" s="271"/>
      <c r="AJ88" s="274"/>
      <c r="AK88" s="263">
        <f t="shared" si="104"/>
        <v>1527</v>
      </c>
      <c r="AM88" s="64">
        <f t="shared" si="85"/>
        <v>300</v>
      </c>
      <c r="AN88" s="64">
        <f t="shared" si="86"/>
        <v>0</v>
      </c>
      <c r="AO88" s="64">
        <f t="shared" si="87"/>
        <v>127.25</v>
      </c>
    </row>
    <row r="89" spans="1:41" s="1" customFormat="1">
      <c r="A89" s="2">
        <v>6213</v>
      </c>
      <c r="B89" s="2" t="s">
        <v>33</v>
      </c>
      <c r="C89" s="55">
        <v>0</v>
      </c>
      <c r="D89" s="49">
        <f t="shared" si="88"/>
        <v>0</v>
      </c>
      <c r="E89" s="55">
        <v>0</v>
      </c>
      <c r="F89" s="49">
        <f t="shared" si="89"/>
        <v>0</v>
      </c>
      <c r="G89" s="55">
        <v>0</v>
      </c>
      <c r="H89" s="49">
        <f t="shared" si="90"/>
        <v>0</v>
      </c>
      <c r="I89" s="55">
        <v>0</v>
      </c>
      <c r="J89" s="49">
        <f t="shared" si="91"/>
        <v>0</v>
      </c>
      <c r="K89" s="55">
        <v>0</v>
      </c>
      <c r="L89" s="49">
        <f t="shared" si="92"/>
        <v>0</v>
      </c>
      <c r="M89" s="55">
        <v>0</v>
      </c>
      <c r="N89" s="49">
        <f t="shared" si="93"/>
        <v>0</v>
      </c>
      <c r="O89" s="55">
        <v>0</v>
      </c>
      <c r="P89" s="49">
        <f t="shared" si="94"/>
        <v>0</v>
      </c>
      <c r="Q89" s="55">
        <v>0</v>
      </c>
      <c r="R89" s="49">
        <f t="shared" si="95"/>
        <v>0</v>
      </c>
      <c r="S89" s="55">
        <v>0</v>
      </c>
      <c r="T89" s="49">
        <f t="shared" si="96"/>
        <v>0</v>
      </c>
      <c r="U89" s="55">
        <v>0</v>
      </c>
      <c r="V89" s="49">
        <f t="shared" si="97"/>
        <v>0</v>
      </c>
      <c r="W89" s="55">
        <v>0</v>
      </c>
      <c r="X89" s="49">
        <f t="shared" si="98"/>
        <v>0</v>
      </c>
      <c r="Y89" s="55">
        <v>0</v>
      </c>
      <c r="Z89" s="49">
        <f t="shared" si="99"/>
        <v>0</v>
      </c>
      <c r="AA89" s="105">
        <f t="shared" si="100"/>
        <v>0</v>
      </c>
      <c r="AB89" s="108">
        <f t="shared" si="101"/>
        <v>0</v>
      </c>
      <c r="AC89" s="89">
        <f t="shared" si="102"/>
        <v>0</v>
      </c>
      <c r="AD89" s="92">
        <f t="shared" si="103"/>
        <v>0</v>
      </c>
      <c r="AE89" s="309"/>
      <c r="AF89" s="309"/>
      <c r="AG89" s="64"/>
      <c r="AI89" s="271"/>
      <c r="AJ89" s="274"/>
      <c r="AK89" s="263">
        <f t="shared" si="104"/>
        <v>0</v>
      </c>
      <c r="AM89" s="64">
        <f t="shared" si="85"/>
        <v>0</v>
      </c>
      <c r="AN89" s="64">
        <f t="shared" si="86"/>
        <v>0</v>
      </c>
      <c r="AO89" s="64">
        <f t="shared" si="87"/>
        <v>0</v>
      </c>
    </row>
    <row r="90" spans="1:41" s="1" customFormat="1">
      <c r="A90" s="2">
        <v>6214</v>
      </c>
      <c r="B90" s="2" t="s">
        <v>34</v>
      </c>
      <c r="C90" s="55">
        <v>122.5</v>
      </c>
      <c r="D90" s="49">
        <f t="shared" si="88"/>
        <v>3.6468101574826592E-3</v>
      </c>
      <c r="E90" s="55">
        <v>122.5</v>
      </c>
      <c r="F90" s="49">
        <f t="shared" si="89"/>
        <v>4.6874362818065639E-3</v>
      </c>
      <c r="G90" s="55">
        <v>122.5</v>
      </c>
      <c r="H90" s="49">
        <f t="shared" si="90"/>
        <v>2.8258377161307375E-3</v>
      </c>
      <c r="I90" s="55">
        <v>122.5</v>
      </c>
      <c r="J90" s="49">
        <f t="shared" si="91"/>
        <v>3.2002899902624257E-3</v>
      </c>
      <c r="K90" s="55">
        <v>122.5</v>
      </c>
      <c r="L90" s="49">
        <f t="shared" si="92"/>
        <v>3.499107198799247E-3</v>
      </c>
      <c r="M90" s="55">
        <v>122.5</v>
      </c>
      <c r="N90" s="49">
        <f t="shared" si="93"/>
        <v>2.4676596360545056E-3</v>
      </c>
      <c r="O90" s="55">
        <v>122.5</v>
      </c>
      <c r="P90" s="49">
        <f t="shared" si="94"/>
        <v>3.8976759251895987E-3</v>
      </c>
      <c r="Q90" s="55">
        <v>122.5</v>
      </c>
      <c r="R90" s="49">
        <f t="shared" si="95"/>
        <v>3.1388849048035075E-3</v>
      </c>
      <c r="S90" s="55">
        <v>122.5</v>
      </c>
      <c r="T90" s="49">
        <f t="shared" si="96"/>
        <v>3.1158918793172926E-3</v>
      </c>
      <c r="U90" s="55">
        <v>122.5</v>
      </c>
      <c r="V90" s="49">
        <f t="shared" si="97"/>
        <v>3.9282226814256558E-3</v>
      </c>
      <c r="W90" s="55">
        <v>122.5</v>
      </c>
      <c r="X90" s="49">
        <f t="shared" si="98"/>
        <v>3.8608829777680999E-3</v>
      </c>
      <c r="Y90" s="55">
        <v>122.5</v>
      </c>
      <c r="Z90" s="49">
        <f t="shared" si="99"/>
        <v>2.5557531661613573E-3</v>
      </c>
      <c r="AA90" s="105">
        <f t="shared" si="100"/>
        <v>1470</v>
      </c>
      <c r="AB90" s="108">
        <f t="shared" si="101"/>
        <v>3.2914042643446073E-3</v>
      </c>
      <c r="AC90" s="89">
        <f t="shared" si="102"/>
        <v>122.5</v>
      </c>
      <c r="AD90" s="92">
        <f t="shared" si="103"/>
        <v>3.2914042643446073E-3</v>
      </c>
      <c r="AE90" s="309"/>
      <c r="AF90" s="309"/>
      <c r="AG90" s="64"/>
      <c r="AI90" s="271"/>
      <c r="AJ90" s="274"/>
      <c r="AK90" s="263">
        <f t="shared" si="104"/>
        <v>7482.2999999999984</v>
      </c>
      <c r="AM90" s="64">
        <f t="shared" si="85"/>
        <v>1470</v>
      </c>
      <c r="AN90" s="64">
        <f t="shared" si="86"/>
        <v>0</v>
      </c>
      <c r="AO90" s="64">
        <f t="shared" si="87"/>
        <v>623.52499999999998</v>
      </c>
    </row>
    <row r="91" spans="1:41" s="1" customFormat="1">
      <c r="A91" s="2">
        <v>6215</v>
      </c>
      <c r="B91" s="128" t="s">
        <v>294</v>
      </c>
      <c r="C91" s="46">
        <v>336.875</v>
      </c>
      <c r="D91" s="49">
        <f t="shared" si="88"/>
        <v>1.0028727933077313E-2</v>
      </c>
      <c r="E91" s="46">
        <v>336.875</v>
      </c>
      <c r="F91" s="49">
        <f t="shared" si="89"/>
        <v>1.2890449774968052E-2</v>
      </c>
      <c r="G91" s="46">
        <v>336.875</v>
      </c>
      <c r="H91" s="49">
        <f t="shared" si="90"/>
        <v>7.7710537193595285E-3</v>
      </c>
      <c r="I91" s="46">
        <v>336.875</v>
      </c>
      <c r="J91" s="49">
        <f t="shared" si="91"/>
        <v>8.800797473221671E-3</v>
      </c>
      <c r="K91" s="46">
        <v>336.875</v>
      </c>
      <c r="L91" s="49">
        <f t="shared" si="92"/>
        <v>9.6225447966979301E-3</v>
      </c>
      <c r="M91" s="46">
        <v>336.875</v>
      </c>
      <c r="N91" s="49">
        <f t="shared" si="93"/>
        <v>6.7860639991498906E-3</v>
      </c>
      <c r="O91" s="46">
        <v>336.875</v>
      </c>
      <c r="P91" s="49">
        <f t="shared" si="94"/>
        <v>1.0718608794271396E-2</v>
      </c>
      <c r="Q91" s="46">
        <v>336.875</v>
      </c>
      <c r="R91" s="49">
        <f t="shared" si="95"/>
        <v>8.6319334882096459E-3</v>
      </c>
      <c r="S91" s="46">
        <v>336.875</v>
      </c>
      <c r="T91" s="49">
        <f t="shared" si="96"/>
        <v>8.5687026681225548E-3</v>
      </c>
      <c r="U91" s="46">
        <v>336.875</v>
      </c>
      <c r="V91" s="49">
        <f t="shared" si="97"/>
        <v>1.0802612373920554E-2</v>
      </c>
      <c r="W91" s="46">
        <v>336.875</v>
      </c>
      <c r="X91" s="49">
        <f t="shared" si="98"/>
        <v>1.0617428188862275E-2</v>
      </c>
      <c r="Y91" s="46">
        <v>336.875</v>
      </c>
      <c r="Z91" s="49">
        <f t="shared" si="99"/>
        <v>7.0283212069437318E-3</v>
      </c>
      <c r="AA91" s="105">
        <f t="shared" si="100"/>
        <v>4042.5</v>
      </c>
      <c r="AB91" s="108">
        <f t="shared" si="101"/>
        <v>9.0513617269476696E-3</v>
      </c>
      <c r="AC91" s="89">
        <f t="shared" si="102"/>
        <v>336.875</v>
      </c>
      <c r="AD91" s="92">
        <f t="shared" si="103"/>
        <v>9.0513617269476696E-3</v>
      </c>
      <c r="AE91" s="309"/>
      <c r="AF91" s="309"/>
      <c r="AG91" s="64"/>
      <c r="AI91" s="271"/>
      <c r="AJ91" s="274"/>
      <c r="AK91" s="263">
        <f t="shared" si="104"/>
        <v>20576.324999999997</v>
      </c>
      <c r="AM91" s="64">
        <f t="shared" si="85"/>
        <v>4042.5</v>
      </c>
      <c r="AN91" s="64">
        <f t="shared" si="86"/>
        <v>0</v>
      </c>
      <c r="AO91" s="64">
        <f t="shared" si="87"/>
        <v>1714.6937499999999</v>
      </c>
    </row>
    <row r="92" spans="1:41" s="1" customFormat="1">
      <c r="A92" s="2">
        <v>6216</v>
      </c>
      <c r="B92" s="2" t="s">
        <v>91</v>
      </c>
      <c r="C92" s="46"/>
      <c r="D92" s="49">
        <f t="shared" si="88"/>
        <v>0</v>
      </c>
      <c r="E92" s="46">
        <v>0</v>
      </c>
      <c r="F92" s="49">
        <f t="shared" si="89"/>
        <v>0</v>
      </c>
      <c r="G92" s="46">
        <v>0</v>
      </c>
      <c r="H92" s="49">
        <f t="shared" si="90"/>
        <v>0</v>
      </c>
      <c r="I92" s="46">
        <v>0</v>
      </c>
      <c r="J92" s="49">
        <f t="shared" si="91"/>
        <v>0</v>
      </c>
      <c r="K92" s="46">
        <v>0</v>
      </c>
      <c r="L92" s="49">
        <f t="shared" si="92"/>
        <v>0</v>
      </c>
      <c r="M92" s="46"/>
      <c r="N92" s="49">
        <f t="shared" si="93"/>
        <v>0</v>
      </c>
      <c r="O92" s="46">
        <v>0</v>
      </c>
      <c r="P92" s="49">
        <f t="shared" si="94"/>
        <v>0</v>
      </c>
      <c r="Q92" s="46">
        <v>0</v>
      </c>
      <c r="R92" s="49">
        <f t="shared" si="95"/>
        <v>0</v>
      </c>
      <c r="S92" s="46">
        <v>0</v>
      </c>
      <c r="T92" s="49">
        <f t="shared" si="96"/>
        <v>0</v>
      </c>
      <c r="U92" s="46">
        <v>0</v>
      </c>
      <c r="V92" s="49">
        <f t="shared" si="97"/>
        <v>0</v>
      </c>
      <c r="W92" s="46">
        <v>0</v>
      </c>
      <c r="X92" s="49">
        <f t="shared" si="98"/>
        <v>0</v>
      </c>
      <c r="Y92" s="46">
        <v>0</v>
      </c>
      <c r="Z92" s="49">
        <f t="shared" si="99"/>
        <v>0</v>
      </c>
      <c r="AA92" s="105">
        <f t="shared" si="100"/>
        <v>0</v>
      </c>
      <c r="AB92" s="108">
        <f t="shared" si="101"/>
        <v>0</v>
      </c>
      <c r="AC92" s="89">
        <f t="shared" si="102"/>
        <v>0</v>
      </c>
      <c r="AD92" s="92">
        <f t="shared" si="103"/>
        <v>0</v>
      </c>
      <c r="AE92" s="309"/>
      <c r="AF92" s="309"/>
      <c r="AG92" s="64"/>
      <c r="AI92" s="271"/>
      <c r="AJ92" s="274"/>
      <c r="AK92" s="263">
        <f t="shared" si="104"/>
        <v>0</v>
      </c>
      <c r="AM92" s="64">
        <f t="shared" si="85"/>
        <v>0</v>
      </c>
      <c r="AN92" s="64">
        <f t="shared" si="86"/>
        <v>0</v>
      </c>
      <c r="AO92" s="64">
        <f t="shared" si="87"/>
        <v>0</v>
      </c>
    </row>
    <row r="93" spans="1:41" s="1" customFormat="1" ht="15.75" thickBot="1">
      <c r="A93" s="4">
        <v>6299</v>
      </c>
      <c r="B93" s="4" t="s">
        <v>114</v>
      </c>
      <c r="C93" s="56">
        <f>SUM(C77:C92)</f>
        <v>3084.2250000000004</v>
      </c>
      <c r="D93" s="71">
        <f>C93/C12</f>
        <v>9.181700455479147E-2</v>
      </c>
      <c r="E93" s="56">
        <f>SUM(E77:E92)</f>
        <v>3084.2250000000004</v>
      </c>
      <c r="F93" s="71">
        <f>E93/E12</f>
        <v>0.11801720952044777</v>
      </c>
      <c r="G93" s="56">
        <f>SUM(G77:G92)</f>
        <v>3084.2250000000004</v>
      </c>
      <c r="H93" s="71">
        <f>G93/G12</f>
        <v>7.114709657170061E-2</v>
      </c>
      <c r="I93" s="56">
        <f>SUM(I77:I92)</f>
        <v>3084.2250000000004</v>
      </c>
      <c r="J93" s="71">
        <f>I93/I12</f>
        <v>8.0574811389527601E-2</v>
      </c>
      <c r="K93" s="22">
        <f>SUM(K77:K92)</f>
        <v>3084.2250000000004</v>
      </c>
      <c r="L93" s="71">
        <f>K93/K12</f>
        <v>8.809823592013559E-2</v>
      </c>
      <c r="M93" s="22">
        <f>SUM(M77:M92)</f>
        <v>3084.2250000000004</v>
      </c>
      <c r="N93" s="71">
        <f>M93/M12</f>
        <v>6.2129122783756804E-2</v>
      </c>
      <c r="O93" s="22">
        <f>SUM(O77:O92)</f>
        <v>3084.2250000000004</v>
      </c>
      <c r="P93" s="71">
        <f>O93/O12</f>
        <v>9.8133139023411364E-2</v>
      </c>
      <c r="Q93" s="56">
        <f>SUM(Q77:Q92)</f>
        <v>3084.2250000000004</v>
      </c>
      <c r="R93" s="71">
        <f>Q93/Q12</f>
        <v>7.9028794249123263E-2</v>
      </c>
      <c r="S93" s="56">
        <f>SUM(S77:S92)</f>
        <v>3084.2250000000004</v>
      </c>
      <c r="T93" s="71">
        <f t="shared" si="96"/>
        <v>7.8449890869284722E-2</v>
      </c>
      <c r="U93" s="56">
        <f>SUM(U77:U92)</f>
        <v>3084.2250000000004</v>
      </c>
      <c r="V93" s="71">
        <f>U93/U12</f>
        <v>9.8902225303020772E-2</v>
      </c>
      <c r="W93" s="38">
        <f>SUM(W77:W92)</f>
        <v>3084.2250000000004</v>
      </c>
      <c r="X93" s="71">
        <f>W93/W12</f>
        <v>9.7206790221280162E-2</v>
      </c>
      <c r="Y93" s="38">
        <f>SUM(Y77:Y92)</f>
        <v>3084.2250000000004</v>
      </c>
      <c r="Z93" s="71">
        <f t="shared" si="99"/>
        <v>6.4347084154318474E-2</v>
      </c>
      <c r="AA93" s="109">
        <f>SUM(AA77:AA92)</f>
        <v>37010.699999999997</v>
      </c>
      <c r="AB93" s="110">
        <f t="shared" si="101"/>
        <v>8.2868827079169358E-2</v>
      </c>
      <c r="AC93" s="93">
        <f>SUM(AC77:AC92)</f>
        <v>3084.2250000000004</v>
      </c>
      <c r="AD93" s="94">
        <f t="shared" si="103"/>
        <v>8.2868827079169372E-2</v>
      </c>
      <c r="AE93" s="310"/>
      <c r="AF93" s="310"/>
      <c r="AG93" s="64"/>
      <c r="AI93" s="271"/>
      <c r="AJ93" s="274"/>
      <c r="AK93" s="263">
        <f t="shared" si="104"/>
        <v>188384.46300000002</v>
      </c>
      <c r="AM93" s="64">
        <f t="shared" si="85"/>
        <v>37010.699999999997</v>
      </c>
      <c r="AN93" s="64">
        <f t="shared" si="86"/>
        <v>0</v>
      </c>
      <c r="AO93" s="64">
        <f t="shared" si="87"/>
        <v>15698.705250000001</v>
      </c>
    </row>
    <row r="94" spans="1:41" s="1" customFormat="1" ht="15.75" thickTop="1">
      <c r="A94" s="128">
        <v>6301</v>
      </c>
      <c r="B94" s="2" t="s">
        <v>36</v>
      </c>
      <c r="C94" s="280"/>
      <c r="D94" s="49">
        <f t="shared" ref="D94:D114" si="105">C94/C$12</f>
        <v>0</v>
      </c>
      <c r="E94" s="280"/>
      <c r="F94" s="49">
        <f t="shared" ref="F94:F114" si="106">E94/E$12</f>
        <v>0</v>
      </c>
      <c r="G94" s="280"/>
      <c r="H94" s="49">
        <f t="shared" ref="H94:H114" si="107">G94/G$12</f>
        <v>0</v>
      </c>
      <c r="I94" s="280"/>
      <c r="J94" s="49">
        <f t="shared" ref="J94:J114" si="108">I94/I$12</f>
        <v>0</v>
      </c>
      <c r="K94" s="280"/>
      <c r="L94" s="49">
        <f t="shared" ref="L94:L114" si="109">K94/K$12</f>
        <v>0</v>
      </c>
      <c r="M94" s="280"/>
      <c r="N94" s="49">
        <f t="shared" ref="N94:N114" si="110">M94/M$12</f>
        <v>0</v>
      </c>
      <c r="O94" s="280"/>
      <c r="P94" s="49">
        <f t="shared" ref="P94:P114" si="111">O94/O$12</f>
        <v>0</v>
      </c>
      <c r="Q94" s="280"/>
      <c r="R94" s="49">
        <f t="shared" ref="R94:R114" si="112">Q94/Q$12</f>
        <v>0</v>
      </c>
      <c r="S94" s="280"/>
      <c r="T94" s="49">
        <f t="shared" si="96"/>
        <v>0</v>
      </c>
      <c r="U94" s="280"/>
      <c r="V94" s="49">
        <f t="shared" ref="V94:V114" si="113">U94/U$12</f>
        <v>0</v>
      </c>
      <c r="W94" s="280"/>
      <c r="X94" s="49">
        <f t="shared" ref="X94:X114" si="114">W94/W$12</f>
        <v>0</v>
      </c>
      <c r="Y94" s="280"/>
      <c r="Z94" s="49">
        <f t="shared" si="99"/>
        <v>0</v>
      </c>
      <c r="AA94" s="582">
        <f t="shared" ref="AA94:AA114" si="115">C94+E94+G94+I94+K94+M94+O94+Q94+S94+U94+W94+Y94</f>
        <v>0</v>
      </c>
      <c r="AB94" s="232">
        <f>AA94/AA$12</f>
        <v>0</v>
      </c>
      <c r="AC94" s="124">
        <f t="shared" ref="AC94:AC114" si="116">AA94/12</f>
        <v>0</v>
      </c>
      <c r="AD94" s="49">
        <f>AC94/AC$12</f>
        <v>0</v>
      </c>
      <c r="AE94" s="309"/>
      <c r="AF94" s="309"/>
      <c r="AG94" s="64"/>
      <c r="AI94" s="271"/>
      <c r="AJ94" s="274"/>
      <c r="AK94" s="263">
        <f t="shared" si="104"/>
        <v>0</v>
      </c>
      <c r="AM94" s="64">
        <f t="shared" si="85"/>
        <v>0</v>
      </c>
      <c r="AN94" s="64">
        <f t="shared" si="86"/>
        <v>0</v>
      </c>
      <c r="AO94" s="64">
        <f t="shared" si="87"/>
        <v>0</v>
      </c>
    </row>
    <row r="95" spans="1:41" s="1" customFormat="1">
      <c r="A95" s="128">
        <v>6302</v>
      </c>
      <c r="B95" s="2" t="s">
        <v>37</v>
      </c>
      <c r="C95" s="280"/>
      <c r="D95" s="49">
        <f t="shared" si="105"/>
        <v>0</v>
      </c>
      <c r="E95" s="280"/>
      <c r="F95" s="49">
        <f t="shared" si="106"/>
        <v>0</v>
      </c>
      <c r="G95" s="280"/>
      <c r="H95" s="49">
        <f t="shared" si="107"/>
        <v>0</v>
      </c>
      <c r="I95" s="280"/>
      <c r="J95" s="49">
        <f t="shared" si="108"/>
        <v>0</v>
      </c>
      <c r="K95" s="280"/>
      <c r="L95" s="49">
        <f t="shared" si="109"/>
        <v>0</v>
      </c>
      <c r="M95" s="280"/>
      <c r="N95" s="49">
        <f t="shared" si="110"/>
        <v>0</v>
      </c>
      <c r="O95" s="280"/>
      <c r="P95" s="49">
        <f t="shared" si="111"/>
        <v>0</v>
      </c>
      <c r="Q95" s="280"/>
      <c r="R95" s="49">
        <f t="shared" si="112"/>
        <v>0</v>
      </c>
      <c r="S95" s="280"/>
      <c r="T95" s="49">
        <f t="shared" si="96"/>
        <v>0</v>
      </c>
      <c r="U95" s="280"/>
      <c r="V95" s="49">
        <f t="shared" si="113"/>
        <v>0</v>
      </c>
      <c r="W95" s="280"/>
      <c r="X95" s="49">
        <f t="shared" si="114"/>
        <v>0</v>
      </c>
      <c r="Y95" s="280"/>
      <c r="Z95" s="49">
        <f t="shared" si="99"/>
        <v>0</v>
      </c>
      <c r="AA95" s="320">
        <f t="shared" si="115"/>
        <v>0</v>
      </c>
      <c r="AB95" s="49">
        <f t="shared" ref="AB95:AB99" si="117">AA95/AA$12</f>
        <v>0</v>
      </c>
      <c r="AC95" s="124">
        <f t="shared" si="116"/>
        <v>0</v>
      </c>
      <c r="AD95" s="49">
        <f t="shared" ref="AD95:AD99" si="118">AC95/AC$12</f>
        <v>0</v>
      </c>
      <c r="AE95" s="309"/>
      <c r="AF95" s="309"/>
      <c r="AG95" s="64"/>
      <c r="AI95" s="271"/>
      <c r="AJ95" s="274"/>
      <c r="AK95" s="263">
        <f t="shared" si="104"/>
        <v>0</v>
      </c>
      <c r="AM95" s="64">
        <f t="shared" si="85"/>
        <v>0</v>
      </c>
      <c r="AN95" s="64">
        <f t="shared" si="86"/>
        <v>0</v>
      </c>
      <c r="AO95" s="64">
        <f t="shared" si="87"/>
        <v>0</v>
      </c>
    </row>
    <row r="96" spans="1:41" s="1" customFormat="1">
      <c r="A96" s="128">
        <v>6303</v>
      </c>
      <c r="B96" s="2" t="s">
        <v>123</v>
      </c>
      <c r="C96" s="280"/>
      <c r="D96" s="49">
        <f t="shared" si="105"/>
        <v>0</v>
      </c>
      <c r="E96" s="280"/>
      <c r="F96" s="49">
        <f t="shared" si="106"/>
        <v>0</v>
      </c>
      <c r="G96" s="280"/>
      <c r="H96" s="49">
        <f t="shared" si="107"/>
        <v>0</v>
      </c>
      <c r="I96" s="280"/>
      <c r="J96" s="49">
        <f t="shared" si="108"/>
        <v>0</v>
      </c>
      <c r="K96" s="280"/>
      <c r="L96" s="49">
        <f t="shared" si="109"/>
        <v>0</v>
      </c>
      <c r="M96" s="280"/>
      <c r="N96" s="49">
        <f t="shared" si="110"/>
        <v>0</v>
      </c>
      <c r="O96" s="280"/>
      <c r="P96" s="49">
        <f t="shared" si="111"/>
        <v>0</v>
      </c>
      <c r="Q96" s="280"/>
      <c r="R96" s="49">
        <f t="shared" si="112"/>
        <v>0</v>
      </c>
      <c r="S96" s="280"/>
      <c r="T96" s="49">
        <f t="shared" si="96"/>
        <v>0</v>
      </c>
      <c r="U96" s="280"/>
      <c r="V96" s="49">
        <f t="shared" si="113"/>
        <v>0</v>
      </c>
      <c r="W96" s="280"/>
      <c r="X96" s="49">
        <f t="shared" si="114"/>
        <v>0</v>
      </c>
      <c r="Y96" s="280"/>
      <c r="Z96" s="49">
        <f t="shared" si="99"/>
        <v>0</v>
      </c>
      <c r="AA96" s="320">
        <f t="shared" si="115"/>
        <v>0</v>
      </c>
      <c r="AB96" s="49">
        <f t="shared" si="117"/>
        <v>0</v>
      </c>
      <c r="AC96" s="124">
        <f t="shared" si="116"/>
        <v>0</v>
      </c>
      <c r="AD96" s="49">
        <f t="shared" si="118"/>
        <v>0</v>
      </c>
      <c r="AE96" s="309"/>
      <c r="AF96" s="309"/>
      <c r="AG96" s="64"/>
      <c r="AI96" s="271"/>
      <c r="AJ96" s="274"/>
      <c r="AK96" s="263">
        <f t="shared" si="104"/>
        <v>0</v>
      </c>
      <c r="AM96" s="64">
        <f t="shared" si="85"/>
        <v>0</v>
      </c>
      <c r="AN96" s="64">
        <f t="shared" si="86"/>
        <v>0</v>
      </c>
      <c r="AO96" s="64">
        <f t="shared" si="87"/>
        <v>0</v>
      </c>
    </row>
    <row r="97" spans="1:41" s="1" customFormat="1">
      <c r="A97" s="128">
        <v>6304</v>
      </c>
      <c r="B97" s="2" t="s">
        <v>38</v>
      </c>
      <c r="C97" s="348"/>
      <c r="D97" s="49">
        <f t="shared" si="105"/>
        <v>0</v>
      </c>
      <c r="E97" s="348"/>
      <c r="F97" s="49">
        <f t="shared" si="106"/>
        <v>0</v>
      </c>
      <c r="G97" s="348"/>
      <c r="H97" s="49">
        <f t="shared" si="107"/>
        <v>0</v>
      </c>
      <c r="I97" s="348"/>
      <c r="J97" s="49">
        <f t="shared" si="108"/>
        <v>0</v>
      </c>
      <c r="K97" s="348"/>
      <c r="L97" s="49">
        <f t="shared" si="109"/>
        <v>0</v>
      </c>
      <c r="M97" s="348"/>
      <c r="N97" s="49">
        <f t="shared" si="110"/>
        <v>0</v>
      </c>
      <c r="O97" s="348"/>
      <c r="P97" s="49">
        <f t="shared" si="111"/>
        <v>0</v>
      </c>
      <c r="Q97" s="348"/>
      <c r="R97" s="49">
        <f t="shared" si="112"/>
        <v>0</v>
      </c>
      <c r="S97" s="348"/>
      <c r="T97" s="49">
        <f t="shared" si="96"/>
        <v>0</v>
      </c>
      <c r="U97" s="348"/>
      <c r="V97" s="49">
        <f t="shared" si="113"/>
        <v>0</v>
      </c>
      <c r="W97" s="348"/>
      <c r="X97" s="49">
        <f t="shared" si="114"/>
        <v>0</v>
      </c>
      <c r="Y97" s="348"/>
      <c r="Z97" s="49">
        <f t="shared" si="99"/>
        <v>0</v>
      </c>
      <c r="AA97" s="320">
        <f t="shared" si="115"/>
        <v>0</v>
      </c>
      <c r="AB97" s="49">
        <f t="shared" si="117"/>
        <v>0</v>
      </c>
      <c r="AC97" s="124">
        <f t="shared" si="116"/>
        <v>0</v>
      </c>
      <c r="AD97" s="49">
        <f t="shared" si="118"/>
        <v>0</v>
      </c>
      <c r="AE97" s="309"/>
      <c r="AF97" s="309"/>
      <c r="AG97" s="64"/>
      <c r="AI97" s="271"/>
      <c r="AJ97" s="274"/>
      <c r="AK97" s="263">
        <f>C97*5.09+E97*5.09+G97*5.09+I97*5.09+K97*5.09+M97*5.09+O97*5.09+Q97*5.09+S97*5.09+U97*5.09+W97*5.09+Y97*5.09</f>
        <v>0</v>
      </c>
      <c r="AM97" s="64">
        <f t="shared" si="85"/>
        <v>0</v>
      </c>
      <c r="AN97" s="64">
        <f t="shared" si="86"/>
        <v>0</v>
      </c>
      <c r="AO97" s="64">
        <f t="shared" si="87"/>
        <v>0</v>
      </c>
    </row>
    <row r="98" spans="1:41" s="1" customFormat="1">
      <c r="A98" s="128">
        <v>6305</v>
      </c>
      <c r="B98" s="2" t="s">
        <v>39</v>
      </c>
      <c r="C98" s="280"/>
      <c r="D98" s="49">
        <f t="shared" si="105"/>
        <v>0</v>
      </c>
      <c r="E98" s="280"/>
      <c r="F98" s="49">
        <f t="shared" si="106"/>
        <v>0</v>
      </c>
      <c r="G98" s="280"/>
      <c r="H98" s="49">
        <f t="shared" si="107"/>
        <v>0</v>
      </c>
      <c r="I98" s="280"/>
      <c r="J98" s="49">
        <f t="shared" si="108"/>
        <v>0</v>
      </c>
      <c r="K98" s="280"/>
      <c r="L98" s="49">
        <f t="shared" si="109"/>
        <v>0</v>
      </c>
      <c r="M98" s="280"/>
      <c r="N98" s="49">
        <f t="shared" si="110"/>
        <v>0</v>
      </c>
      <c r="O98" s="280"/>
      <c r="P98" s="49">
        <f t="shared" si="111"/>
        <v>0</v>
      </c>
      <c r="Q98" s="280"/>
      <c r="R98" s="49">
        <f t="shared" si="112"/>
        <v>0</v>
      </c>
      <c r="S98" s="280"/>
      <c r="T98" s="49">
        <f t="shared" si="96"/>
        <v>0</v>
      </c>
      <c r="U98" s="280"/>
      <c r="V98" s="49">
        <f t="shared" si="113"/>
        <v>0</v>
      </c>
      <c r="W98" s="280"/>
      <c r="X98" s="49">
        <f t="shared" si="114"/>
        <v>0</v>
      </c>
      <c r="Y98" s="280"/>
      <c r="Z98" s="49">
        <f t="shared" si="99"/>
        <v>0</v>
      </c>
      <c r="AA98" s="320">
        <f t="shared" si="115"/>
        <v>0</v>
      </c>
      <c r="AB98" s="49">
        <f t="shared" si="117"/>
        <v>0</v>
      </c>
      <c r="AC98" s="124">
        <f t="shared" si="116"/>
        <v>0</v>
      </c>
      <c r="AD98" s="49">
        <f t="shared" si="118"/>
        <v>0</v>
      </c>
      <c r="AE98" s="309"/>
      <c r="AF98" s="309"/>
      <c r="AG98" s="64"/>
      <c r="AI98" s="271"/>
      <c r="AJ98" s="274"/>
      <c r="AK98" s="263">
        <f t="shared" si="104"/>
        <v>0</v>
      </c>
      <c r="AM98" s="64">
        <f t="shared" si="85"/>
        <v>0</v>
      </c>
      <c r="AN98" s="64">
        <f t="shared" si="86"/>
        <v>0</v>
      </c>
      <c r="AO98" s="64">
        <f t="shared" si="87"/>
        <v>0</v>
      </c>
    </row>
    <row r="99" spans="1:41" s="1" customFormat="1">
      <c r="A99" s="128">
        <v>6306</v>
      </c>
      <c r="B99" s="2" t="s">
        <v>40</v>
      </c>
      <c r="C99" s="280"/>
      <c r="D99" s="49">
        <f t="shared" si="105"/>
        <v>0</v>
      </c>
      <c r="E99" s="280"/>
      <c r="F99" s="49">
        <f t="shared" si="106"/>
        <v>0</v>
      </c>
      <c r="G99" s="280"/>
      <c r="H99" s="49">
        <f t="shared" si="107"/>
        <v>0</v>
      </c>
      <c r="I99" s="280"/>
      <c r="J99" s="49">
        <f t="shared" si="108"/>
        <v>0</v>
      </c>
      <c r="K99" s="280"/>
      <c r="L99" s="49">
        <f t="shared" si="109"/>
        <v>0</v>
      </c>
      <c r="M99" s="280"/>
      <c r="N99" s="49">
        <f t="shared" si="110"/>
        <v>0</v>
      </c>
      <c r="O99" s="280"/>
      <c r="P99" s="49">
        <f t="shared" si="111"/>
        <v>0</v>
      </c>
      <c r="Q99" s="280"/>
      <c r="R99" s="49">
        <f t="shared" si="112"/>
        <v>0</v>
      </c>
      <c r="S99" s="280"/>
      <c r="T99" s="49">
        <f t="shared" si="96"/>
        <v>0</v>
      </c>
      <c r="U99" s="280"/>
      <c r="V99" s="49">
        <f t="shared" si="113"/>
        <v>0</v>
      </c>
      <c r="W99" s="280"/>
      <c r="X99" s="49">
        <f t="shared" si="114"/>
        <v>0</v>
      </c>
      <c r="Y99" s="280"/>
      <c r="Z99" s="49">
        <f t="shared" si="99"/>
        <v>0</v>
      </c>
      <c r="AA99" s="320">
        <f t="shared" si="115"/>
        <v>0</v>
      </c>
      <c r="AB99" s="49">
        <f t="shared" si="117"/>
        <v>0</v>
      </c>
      <c r="AC99" s="124">
        <f t="shared" si="116"/>
        <v>0</v>
      </c>
      <c r="AD99" s="49">
        <f t="shared" si="118"/>
        <v>0</v>
      </c>
      <c r="AE99" s="309"/>
      <c r="AF99" s="309"/>
      <c r="AG99" s="64"/>
      <c r="AI99" s="271"/>
      <c r="AJ99" s="274"/>
      <c r="AK99" s="263">
        <f t="shared" si="104"/>
        <v>0</v>
      </c>
      <c r="AM99" s="64">
        <f t="shared" si="85"/>
        <v>0</v>
      </c>
      <c r="AN99" s="64">
        <f t="shared" si="86"/>
        <v>0</v>
      </c>
      <c r="AO99" s="64">
        <f t="shared" si="87"/>
        <v>0</v>
      </c>
    </row>
    <row r="100" spans="1:41" s="289" customFormat="1">
      <c r="A100" s="2">
        <v>6307</v>
      </c>
      <c r="B100" s="2" t="s">
        <v>240</v>
      </c>
      <c r="C100" s="280"/>
      <c r="D100" s="49">
        <f t="shared" si="105"/>
        <v>0</v>
      </c>
      <c r="E100" s="280">
        <v>12</v>
      </c>
      <c r="F100" s="49">
        <f t="shared" si="106"/>
        <v>4.5917743168717365E-4</v>
      </c>
      <c r="G100" s="280">
        <v>12</v>
      </c>
      <c r="H100" s="49">
        <f t="shared" si="107"/>
        <v>2.7681675586586815E-4</v>
      </c>
      <c r="I100" s="280">
        <v>59.91</v>
      </c>
      <c r="J100" s="49">
        <f t="shared" si="108"/>
        <v>1.5651377413601791E-3</v>
      </c>
      <c r="K100" s="280">
        <v>12</v>
      </c>
      <c r="L100" s="49">
        <f t="shared" si="109"/>
        <v>3.4276968478033442E-4</v>
      </c>
      <c r="M100" s="280"/>
      <c r="N100" s="49">
        <f t="shared" si="110"/>
        <v>0</v>
      </c>
      <c r="O100" s="280">
        <v>12.37</v>
      </c>
      <c r="P100" s="49">
        <f t="shared" si="111"/>
        <v>3.9358572403751295E-4</v>
      </c>
      <c r="Q100" s="280">
        <v>12.37</v>
      </c>
      <c r="R100" s="49">
        <f t="shared" si="112"/>
        <v>3.1696331650954602E-4</v>
      </c>
      <c r="S100" s="280">
        <v>12.37</v>
      </c>
      <c r="T100" s="49">
        <f t="shared" si="96"/>
        <v>3.1464149018085641E-4</v>
      </c>
      <c r="U100" s="280">
        <v>12.37</v>
      </c>
      <c r="V100" s="49">
        <f t="shared" si="113"/>
        <v>3.966703230141662E-4</v>
      </c>
      <c r="W100" s="280">
        <v>12.37</v>
      </c>
      <c r="X100" s="49">
        <f t="shared" si="114"/>
        <v>3.8987038722441953E-4</v>
      </c>
      <c r="Y100" s="280">
        <v>12.37</v>
      </c>
      <c r="Z100" s="49">
        <f t="shared" si="99"/>
        <v>2.5807891155441622E-4</v>
      </c>
      <c r="AA100" s="320">
        <f t="shared" si="115"/>
        <v>170.13000000000002</v>
      </c>
      <c r="AB100" s="49">
        <f>AA100/AA$12</f>
        <v>3.809296649611892E-4</v>
      </c>
      <c r="AC100" s="124">
        <f t="shared" si="116"/>
        <v>14.177500000000002</v>
      </c>
      <c r="AD100" s="49">
        <f>AC100/AC$12</f>
        <v>3.809296649611892E-4</v>
      </c>
      <c r="AE100" s="309"/>
      <c r="AF100" s="309"/>
      <c r="AG100" s="64"/>
      <c r="AI100" s="271"/>
      <c r="AJ100" s="274"/>
      <c r="AK100" s="263"/>
      <c r="AM100" s="64"/>
      <c r="AN100" s="64"/>
      <c r="AO100" s="64"/>
    </row>
    <row r="101" spans="1:41" s="1" customFormat="1">
      <c r="A101" s="2">
        <v>6308</v>
      </c>
      <c r="B101" s="2" t="s">
        <v>142</v>
      </c>
      <c r="C101" s="280"/>
      <c r="D101" s="49">
        <f t="shared" si="105"/>
        <v>0</v>
      </c>
      <c r="E101" s="280"/>
      <c r="F101" s="49">
        <f t="shared" si="106"/>
        <v>0</v>
      </c>
      <c r="G101" s="280"/>
      <c r="H101" s="49">
        <f t="shared" si="107"/>
        <v>0</v>
      </c>
      <c r="I101" s="280"/>
      <c r="J101" s="49">
        <f t="shared" si="108"/>
        <v>0</v>
      </c>
      <c r="K101" s="280"/>
      <c r="L101" s="49">
        <f t="shared" si="109"/>
        <v>0</v>
      </c>
      <c r="M101" s="280"/>
      <c r="N101" s="49">
        <f t="shared" si="110"/>
        <v>0</v>
      </c>
      <c r="O101" s="280"/>
      <c r="P101" s="49">
        <f t="shared" si="111"/>
        <v>0</v>
      </c>
      <c r="Q101" s="280"/>
      <c r="R101" s="49">
        <f t="shared" si="112"/>
        <v>0</v>
      </c>
      <c r="S101" s="280"/>
      <c r="T101" s="49">
        <f t="shared" si="96"/>
        <v>0</v>
      </c>
      <c r="U101" s="280"/>
      <c r="V101" s="49">
        <f t="shared" si="113"/>
        <v>0</v>
      </c>
      <c r="W101" s="280"/>
      <c r="X101" s="49">
        <f t="shared" si="114"/>
        <v>0</v>
      </c>
      <c r="Y101" s="280"/>
      <c r="Z101" s="49">
        <f t="shared" si="99"/>
        <v>0</v>
      </c>
      <c r="AA101" s="320">
        <f t="shared" si="115"/>
        <v>0</v>
      </c>
      <c r="AB101" s="49">
        <f>AA101/AA$12</f>
        <v>0</v>
      </c>
      <c r="AC101" s="124">
        <f t="shared" si="116"/>
        <v>0</v>
      </c>
      <c r="AD101" s="49">
        <f>AC101/AC$12</f>
        <v>0</v>
      </c>
      <c r="AE101" s="309"/>
      <c r="AF101" s="309"/>
      <c r="AG101" s="64"/>
      <c r="AI101" s="271"/>
      <c r="AJ101" s="274"/>
      <c r="AK101" s="263">
        <f t="shared" si="104"/>
        <v>0</v>
      </c>
      <c r="AM101" s="64">
        <f t="shared" si="85"/>
        <v>0</v>
      </c>
      <c r="AN101" s="64">
        <f t="shared" si="86"/>
        <v>0</v>
      </c>
      <c r="AO101" s="64">
        <f t="shared" si="87"/>
        <v>0</v>
      </c>
    </row>
    <row r="102" spans="1:41" s="1" customFormat="1">
      <c r="A102" s="2">
        <v>6309</v>
      </c>
      <c r="B102" s="2" t="s">
        <v>143</v>
      </c>
      <c r="C102" s="280">
        <v>62.933875983000007</v>
      </c>
      <c r="D102" s="49">
        <f t="shared" si="105"/>
        <v>1.873533862731089E-3</v>
      </c>
      <c r="E102" s="280">
        <v>63.563214742830013</v>
      </c>
      <c r="F102" s="49">
        <f t="shared" si="106"/>
        <v>2.4322328079494147E-3</v>
      </c>
      <c r="G102" s="280">
        <v>32.099423445129155</v>
      </c>
      <c r="H102" s="49">
        <f t="shared" si="107"/>
        <v>7.4047152193712018E-4</v>
      </c>
      <c r="I102" s="280">
        <v>33.714739178973396</v>
      </c>
      <c r="J102" s="49">
        <f t="shared" si="108"/>
        <v>8.8079136586756738E-4</v>
      </c>
      <c r="K102" s="280">
        <v>70.229264167752532</v>
      </c>
      <c r="L102" s="49">
        <f t="shared" si="109"/>
        <v>2.0060385617612806E-3</v>
      </c>
      <c r="M102" s="280">
        <v>35.936509279441381</v>
      </c>
      <c r="N102" s="49">
        <f t="shared" si="110"/>
        <v>7.2391080334347499E-4</v>
      </c>
      <c r="O102" s="280">
        <v>38.528692891059372</v>
      </c>
      <c r="P102" s="49">
        <f t="shared" si="111"/>
        <v>1.2258968058000469E-3</v>
      </c>
      <c r="Q102" s="280">
        <v>40.123390598371266</v>
      </c>
      <c r="R102" s="49">
        <f t="shared" si="112"/>
        <v>1.0281037149286738E-3</v>
      </c>
      <c r="S102" s="280">
        <v>84.034810347236416</v>
      </c>
      <c r="T102" s="49">
        <f t="shared" si="96"/>
        <v>2.1374970052320222E-3</v>
      </c>
      <c r="U102" s="280">
        <v>86.855925150006627</v>
      </c>
      <c r="V102" s="49">
        <f t="shared" si="113"/>
        <v>2.7852197158405312E-3</v>
      </c>
      <c r="W102" s="280">
        <v>45.613356071435298</v>
      </c>
      <c r="X102" s="49">
        <f t="shared" si="114"/>
        <v>1.4376149388986102E-3</v>
      </c>
      <c r="Y102" s="280">
        <v>47.908723521307962</v>
      </c>
      <c r="Z102" s="49">
        <f t="shared" si="99"/>
        <v>9.9953364756189315E-4</v>
      </c>
      <c r="AA102" s="320">
        <f t="shared" si="115"/>
        <v>641.54192537654342</v>
      </c>
      <c r="AB102" s="49">
        <f>AA102/AA$12</f>
        <v>1.4364447815919761E-3</v>
      </c>
      <c r="AC102" s="124">
        <f t="shared" si="116"/>
        <v>53.461827114711951</v>
      </c>
      <c r="AD102" s="49">
        <f>AC102/AC$12</f>
        <v>1.4364447815919761E-3</v>
      </c>
      <c r="AE102" s="309"/>
      <c r="AF102" s="309"/>
      <c r="AG102" s="64"/>
      <c r="AI102" s="271"/>
      <c r="AJ102" s="274"/>
      <c r="AK102" s="263">
        <f t="shared" si="104"/>
        <v>3265.448400166606</v>
      </c>
      <c r="AM102" s="64">
        <f t="shared" si="85"/>
        <v>641.54192537654342</v>
      </c>
      <c r="AN102" s="64">
        <f t="shared" si="86"/>
        <v>0</v>
      </c>
      <c r="AO102" s="64">
        <f t="shared" si="87"/>
        <v>204.22805814570972</v>
      </c>
    </row>
    <row r="103" spans="1:41" s="1" customFormat="1">
      <c r="A103" s="2">
        <v>6310</v>
      </c>
      <c r="B103" s="2" t="s">
        <v>144</v>
      </c>
      <c r="C103" s="280"/>
      <c r="D103" s="49">
        <f t="shared" si="105"/>
        <v>0</v>
      </c>
      <c r="E103" s="280"/>
      <c r="F103" s="49">
        <f t="shared" si="106"/>
        <v>0</v>
      </c>
      <c r="G103" s="280"/>
      <c r="H103" s="49">
        <f t="shared" si="107"/>
        <v>0</v>
      </c>
      <c r="I103" s="280"/>
      <c r="J103" s="49">
        <f t="shared" si="108"/>
        <v>0</v>
      </c>
      <c r="K103" s="280"/>
      <c r="L103" s="49">
        <f t="shared" si="109"/>
        <v>0</v>
      </c>
      <c r="M103" s="280"/>
      <c r="N103" s="49">
        <f t="shared" si="110"/>
        <v>0</v>
      </c>
      <c r="O103" s="280"/>
      <c r="P103" s="49">
        <f t="shared" si="111"/>
        <v>0</v>
      </c>
      <c r="Q103" s="280"/>
      <c r="R103" s="49">
        <f t="shared" si="112"/>
        <v>0</v>
      </c>
      <c r="S103" s="280"/>
      <c r="T103" s="49">
        <f t="shared" si="96"/>
        <v>0</v>
      </c>
      <c r="U103" s="280"/>
      <c r="V103" s="49">
        <f t="shared" si="113"/>
        <v>0</v>
      </c>
      <c r="W103" s="280"/>
      <c r="X103" s="49">
        <f t="shared" si="114"/>
        <v>0</v>
      </c>
      <c r="Y103" s="280"/>
      <c r="Z103" s="49">
        <f t="shared" si="99"/>
        <v>0</v>
      </c>
      <c r="AA103" s="320">
        <f t="shared" si="115"/>
        <v>0</v>
      </c>
      <c r="AB103" s="49">
        <f t="shared" ref="AB103:AB114" si="119">AA103/AA$12</f>
        <v>0</v>
      </c>
      <c r="AC103" s="124">
        <f t="shared" si="116"/>
        <v>0</v>
      </c>
      <c r="AD103" s="49">
        <f t="shared" ref="AD103:AD114" si="120">AC103/AC$12</f>
        <v>0</v>
      </c>
      <c r="AE103" s="309"/>
      <c r="AF103" s="309"/>
      <c r="AG103" s="64"/>
      <c r="AI103" s="271"/>
      <c r="AJ103" s="274"/>
      <c r="AK103" s="263">
        <f t="shared" si="104"/>
        <v>0</v>
      </c>
      <c r="AM103" s="64">
        <f t="shared" si="85"/>
        <v>0</v>
      </c>
      <c r="AN103" s="64">
        <f t="shared" si="86"/>
        <v>0</v>
      </c>
      <c r="AO103" s="64">
        <f t="shared" si="87"/>
        <v>0</v>
      </c>
    </row>
    <row r="104" spans="1:41" s="1" customFormat="1">
      <c r="A104" s="2">
        <v>6311</v>
      </c>
      <c r="B104" s="2" t="s">
        <v>145</v>
      </c>
      <c r="C104" s="280">
        <v>392.92730844793715</v>
      </c>
      <c r="D104" s="49">
        <f t="shared" si="105"/>
        <v>1.1697398364083747E-2</v>
      </c>
      <c r="E104" s="280"/>
      <c r="F104" s="49">
        <f t="shared" si="106"/>
        <v>0</v>
      </c>
      <c r="G104" s="280"/>
      <c r="H104" s="49">
        <f t="shared" si="107"/>
        <v>0</v>
      </c>
      <c r="I104" s="280"/>
      <c r="J104" s="49">
        <f t="shared" si="108"/>
        <v>0</v>
      </c>
      <c r="K104" s="280"/>
      <c r="L104" s="49">
        <f t="shared" si="109"/>
        <v>0</v>
      </c>
      <c r="M104" s="280"/>
      <c r="N104" s="49">
        <f t="shared" si="110"/>
        <v>0</v>
      </c>
      <c r="O104" s="280"/>
      <c r="P104" s="49">
        <f t="shared" si="111"/>
        <v>0</v>
      </c>
      <c r="Q104" s="280"/>
      <c r="R104" s="49">
        <f t="shared" si="112"/>
        <v>0</v>
      </c>
      <c r="S104" s="280"/>
      <c r="T104" s="49">
        <f t="shared" si="96"/>
        <v>0</v>
      </c>
      <c r="U104" s="280"/>
      <c r="V104" s="49">
        <f t="shared" si="113"/>
        <v>0</v>
      </c>
      <c r="W104" s="280"/>
      <c r="X104" s="49">
        <f t="shared" si="114"/>
        <v>0</v>
      </c>
      <c r="Y104" s="280"/>
      <c r="Z104" s="49">
        <f t="shared" si="99"/>
        <v>0</v>
      </c>
      <c r="AA104" s="320">
        <f t="shared" si="115"/>
        <v>392.92730844793715</v>
      </c>
      <c r="AB104" s="49">
        <f t="shared" si="119"/>
        <v>8.7978409428774774E-4</v>
      </c>
      <c r="AC104" s="124">
        <f t="shared" si="116"/>
        <v>32.743942370661429</v>
      </c>
      <c r="AD104" s="49">
        <f t="shared" si="120"/>
        <v>8.7978409428774774E-4</v>
      </c>
      <c r="AE104" s="309"/>
      <c r="AF104" s="309"/>
      <c r="AG104" s="64"/>
      <c r="AI104" s="271"/>
      <c r="AJ104" s="274"/>
      <c r="AK104" s="263">
        <f t="shared" si="104"/>
        <v>2000</v>
      </c>
      <c r="AM104" s="64">
        <f t="shared" si="85"/>
        <v>392.92730844793715</v>
      </c>
      <c r="AN104" s="64">
        <f t="shared" si="86"/>
        <v>0</v>
      </c>
      <c r="AO104" s="64">
        <f t="shared" si="87"/>
        <v>0</v>
      </c>
    </row>
    <row r="105" spans="1:41" s="1" customFormat="1">
      <c r="A105" s="2">
        <v>6312</v>
      </c>
      <c r="B105" s="2" t="s">
        <v>146</v>
      </c>
      <c r="C105" s="280"/>
      <c r="D105" s="49">
        <f t="shared" si="105"/>
        <v>0</v>
      </c>
      <c r="E105" s="280"/>
      <c r="F105" s="49">
        <f t="shared" si="106"/>
        <v>0</v>
      </c>
      <c r="G105" s="280"/>
      <c r="H105" s="49">
        <f t="shared" si="107"/>
        <v>0</v>
      </c>
      <c r="I105" s="280"/>
      <c r="J105" s="49">
        <f t="shared" si="108"/>
        <v>0</v>
      </c>
      <c r="K105" s="280"/>
      <c r="L105" s="49">
        <f t="shared" si="109"/>
        <v>0</v>
      </c>
      <c r="M105" s="280"/>
      <c r="N105" s="49">
        <f t="shared" si="110"/>
        <v>0</v>
      </c>
      <c r="O105" s="280"/>
      <c r="P105" s="49">
        <f t="shared" si="111"/>
        <v>0</v>
      </c>
      <c r="Q105" s="280"/>
      <c r="R105" s="49">
        <f t="shared" si="112"/>
        <v>0</v>
      </c>
      <c r="S105" s="280"/>
      <c r="T105" s="49">
        <f t="shared" si="96"/>
        <v>0</v>
      </c>
      <c r="U105" s="280"/>
      <c r="V105" s="49">
        <f t="shared" si="113"/>
        <v>0</v>
      </c>
      <c r="W105" s="280"/>
      <c r="X105" s="49">
        <f t="shared" si="114"/>
        <v>0</v>
      </c>
      <c r="Y105" s="280"/>
      <c r="Z105" s="49">
        <f t="shared" si="99"/>
        <v>0</v>
      </c>
      <c r="AA105" s="320">
        <f t="shared" si="115"/>
        <v>0</v>
      </c>
      <c r="AB105" s="49">
        <f t="shared" si="119"/>
        <v>0</v>
      </c>
      <c r="AC105" s="124">
        <f t="shared" si="116"/>
        <v>0</v>
      </c>
      <c r="AD105" s="49">
        <f t="shared" si="120"/>
        <v>0</v>
      </c>
      <c r="AE105" s="309"/>
      <c r="AF105" s="309"/>
      <c r="AG105" s="64"/>
      <c r="AI105" s="271"/>
      <c r="AJ105" s="274"/>
      <c r="AK105" s="263">
        <f t="shared" si="104"/>
        <v>0</v>
      </c>
      <c r="AM105" s="64">
        <f t="shared" si="85"/>
        <v>0</v>
      </c>
      <c r="AN105" s="64">
        <f t="shared" si="86"/>
        <v>0</v>
      </c>
      <c r="AO105" s="64">
        <f t="shared" si="87"/>
        <v>0</v>
      </c>
    </row>
    <row r="106" spans="1:41" s="289" customFormat="1">
      <c r="A106" s="2">
        <v>6313</v>
      </c>
      <c r="B106" s="2" t="s">
        <v>147</v>
      </c>
      <c r="C106" s="280"/>
      <c r="D106" s="49">
        <f t="shared" si="105"/>
        <v>0</v>
      </c>
      <c r="E106" s="280"/>
      <c r="F106" s="49">
        <f t="shared" si="106"/>
        <v>0</v>
      </c>
      <c r="G106" s="280">
        <v>111.62707626361851</v>
      </c>
      <c r="H106" s="49">
        <f t="shared" si="107"/>
        <v>2.5750204265072275E-3</v>
      </c>
      <c r="I106" s="280"/>
      <c r="J106" s="49">
        <f t="shared" si="108"/>
        <v>0</v>
      </c>
      <c r="K106" s="280">
        <v>111.62707626361851</v>
      </c>
      <c r="L106" s="49">
        <f t="shared" si="109"/>
        <v>3.1885314786525721E-3</v>
      </c>
      <c r="M106" s="280"/>
      <c r="N106" s="49">
        <f t="shared" si="110"/>
        <v>0</v>
      </c>
      <c r="O106" s="280"/>
      <c r="P106" s="49">
        <f t="shared" si="111"/>
        <v>0</v>
      </c>
      <c r="Q106" s="280">
        <v>111.62707626361851</v>
      </c>
      <c r="R106" s="49">
        <f t="shared" si="112"/>
        <v>2.8602819971528331E-3</v>
      </c>
      <c r="S106" s="280"/>
      <c r="T106" s="49">
        <f t="shared" si="96"/>
        <v>0</v>
      </c>
      <c r="U106" s="280"/>
      <c r="V106" s="49">
        <f t="shared" si="113"/>
        <v>0</v>
      </c>
      <c r="W106" s="280"/>
      <c r="X106" s="49">
        <f t="shared" si="114"/>
        <v>0</v>
      </c>
      <c r="Y106" s="280">
        <v>111.62707626361851</v>
      </c>
      <c r="Z106" s="49">
        <f t="shared" si="99"/>
        <v>2.3289081925720674E-3</v>
      </c>
      <c r="AA106" s="320">
        <f t="shared" si="115"/>
        <v>446.50830505447402</v>
      </c>
      <c r="AB106" s="49">
        <f t="shared" si="119"/>
        <v>9.9975465259971325E-4</v>
      </c>
      <c r="AC106" s="124">
        <f t="shared" si="116"/>
        <v>37.209025421206171</v>
      </c>
      <c r="AD106" s="49">
        <f t="shared" si="120"/>
        <v>9.9975465259971347E-4</v>
      </c>
      <c r="AE106" s="309"/>
      <c r="AF106" s="309"/>
      <c r="AG106" s="64"/>
      <c r="AI106" s="271"/>
      <c r="AJ106" s="274"/>
      <c r="AK106" s="263"/>
      <c r="AM106" s="64">
        <f t="shared" si="85"/>
        <v>446.50830505447402</v>
      </c>
      <c r="AN106" s="64">
        <f t="shared" si="86"/>
        <v>0</v>
      </c>
      <c r="AO106" s="64">
        <f t="shared" si="87"/>
        <v>568.18181818181813</v>
      </c>
    </row>
    <row r="107" spans="1:41" s="1" customFormat="1">
      <c r="A107" s="2">
        <v>6314</v>
      </c>
      <c r="B107" s="2" t="s">
        <v>211</v>
      </c>
      <c r="C107" s="280">
        <v>129.17000000000002</v>
      </c>
      <c r="D107" s="49">
        <f t="shared" si="105"/>
        <v>3.8453752493227359E-3</v>
      </c>
      <c r="E107" s="280">
        <v>25</v>
      </c>
      <c r="F107" s="49">
        <f t="shared" si="106"/>
        <v>9.5661964934827841E-4</v>
      </c>
      <c r="G107" s="280">
        <v>129.17000000000002</v>
      </c>
      <c r="H107" s="49">
        <f t="shared" si="107"/>
        <v>2.9797016962661831E-3</v>
      </c>
      <c r="I107" s="280"/>
      <c r="J107" s="49">
        <f>I107/I$12</f>
        <v>0</v>
      </c>
      <c r="K107" s="280">
        <v>154.17000000000002</v>
      </c>
      <c r="L107" s="49">
        <f>K107/K$12</f>
        <v>4.4037335252153469E-3</v>
      </c>
      <c r="M107" s="280">
        <v>129.17000000000002</v>
      </c>
      <c r="N107" s="49">
        <f t="shared" si="110"/>
        <v>2.6020211852176372E-3</v>
      </c>
      <c r="O107" s="280">
        <v>129.17000000000002</v>
      </c>
      <c r="P107" s="49">
        <f t="shared" si="111"/>
        <v>4.1099004020958415E-3</v>
      </c>
      <c r="Q107" s="280"/>
      <c r="R107" s="49">
        <f t="shared" si="112"/>
        <v>0</v>
      </c>
      <c r="S107" s="280">
        <v>154.17000000000002</v>
      </c>
      <c r="T107" s="49">
        <f t="shared" si="96"/>
        <v>3.921445314566098E-3</v>
      </c>
      <c r="U107" s="280">
        <v>25</v>
      </c>
      <c r="V107" s="49">
        <f t="shared" si="113"/>
        <v>8.0167809825013384E-4</v>
      </c>
      <c r="W107" s="280">
        <v>154.17000000000002</v>
      </c>
      <c r="X107" s="49">
        <f t="shared" si="114"/>
        <v>4.8590394178163916E-3</v>
      </c>
      <c r="Y107" s="280"/>
      <c r="Z107" s="49">
        <f t="shared" si="99"/>
        <v>0</v>
      </c>
      <c r="AA107" s="320">
        <f>C107+E107+G107+I107+K107+M107+O107+Q107+S107+U107+W107+Y107</f>
        <v>1029.1900000000003</v>
      </c>
      <c r="AB107" s="49">
        <f t="shared" si="119"/>
        <v>2.3044084046400185E-3</v>
      </c>
      <c r="AC107" s="124">
        <f t="shared" si="116"/>
        <v>85.765833333333362</v>
      </c>
      <c r="AD107" s="49">
        <f t="shared" si="120"/>
        <v>2.3044084046400185E-3</v>
      </c>
      <c r="AE107" s="309"/>
      <c r="AF107" s="309"/>
      <c r="AG107" s="64"/>
      <c r="AI107" s="271"/>
      <c r="AJ107" s="274"/>
      <c r="AK107" s="263">
        <f>C107*5.09+E107*5.09+G107*5.09+I107*5.09+K107*5.09+M107*5.09+O107*5.09+Q107*5.09+S107*5.09+U107*5.09+W107*5.09+Y107*5.09</f>
        <v>5238.5771000000004</v>
      </c>
      <c r="AM107" s="64">
        <f t="shared" si="85"/>
        <v>1029.1900000000003</v>
      </c>
      <c r="AN107" s="64">
        <f t="shared" si="86"/>
        <v>0</v>
      </c>
      <c r="AO107" s="64">
        <f t="shared" si="87"/>
        <v>0</v>
      </c>
    </row>
    <row r="108" spans="1:41" s="289" customFormat="1">
      <c r="A108" s="2">
        <v>6315</v>
      </c>
      <c r="B108" s="2" t="s">
        <v>241</v>
      </c>
      <c r="C108" s="280"/>
      <c r="D108" s="49">
        <f t="shared" si="105"/>
        <v>0</v>
      </c>
      <c r="E108" s="280"/>
      <c r="F108" s="49">
        <f t="shared" si="106"/>
        <v>0</v>
      </c>
      <c r="G108" s="280">
        <v>150</v>
      </c>
      <c r="H108" s="49">
        <f t="shared" si="107"/>
        <v>3.4602094483233521E-3</v>
      </c>
      <c r="I108" s="280"/>
      <c r="J108" s="49">
        <f t="shared" si="108"/>
        <v>0</v>
      </c>
      <c r="K108" s="280">
        <v>150</v>
      </c>
      <c r="L108" s="49">
        <f t="shared" si="109"/>
        <v>4.2846210597541796E-3</v>
      </c>
      <c r="M108" s="280"/>
      <c r="N108" s="49">
        <f t="shared" si="110"/>
        <v>0</v>
      </c>
      <c r="O108" s="280">
        <v>100</v>
      </c>
      <c r="P108" s="49">
        <f t="shared" si="111"/>
        <v>3.1817762654608971E-3</v>
      </c>
      <c r="Q108" s="280">
        <v>150</v>
      </c>
      <c r="R108" s="49">
        <f t="shared" si="112"/>
        <v>3.8435325364940911E-3</v>
      </c>
      <c r="S108" s="280"/>
      <c r="T108" s="49">
        <f t="shared" si="96"/>
        <v>0</v>
      </c>
      <c r="U108" s="280">
        <v>100</v>
      </c>
      <c r="V108" s="49">
        <f t="shared" si="113"/>
        <v>3.2067123930005353E-3</v>
      </c>
      <c r="W108" s="280"/>
      <c r="X108" s="49">
        <f t="shared" si="114"/>
        <v>0</v>
      </c>
      <c r="Y108" s="280">
        <v>150</v>
      </c>
      <c r="Z108" s="49">
        <f t="shared" si="99"/>
        <v>3.1294936728506412E-3</v>
      </c>
      <c r="AA108" s="320">
        <f t="shared" si="115"/>
        <v>800</v>
      </c>
      <c r="AB108" s="49">
        <f t="shared" si="119"/>
        <v>1.7912404159698542E-3</v>
      </c>
      <c r="AC108" s="124">
        <f t="shared" si="116"/>
        <v>66.666666666666671</v>
      </c>
      <c r="AD108" s="49">
        <f t="shared" si="120"/>
        <v>1.7912404159698544E-3</v>
      </c>
      <c r="AE108" s="309"/>
      <c r="AF108" s="309"/>
      <c r="AG108" s="64"/>
      <c r="AI108" s="271"/>
      <c r="AJ108" s="274"/>
      <c r="AK108" s="263"/>
      <c r="AM108" s="64"/>
      <c r="AN108" s="64"/>
      <c r="AO108" s="64"/>
    </row>
    <row r="109" spans="1:41" s="289" customFormat="1">
      <c r="A109" s="2">
        <v>6316</v>
      </c>
      <c r="B109" s="2" t="s">
        <v>242</v>
      </c>
      <c r="C109" s="280"/>
      <c r="D109" s="49">
        <f t="shared" si="105"/>
        <v>0</v>
      </c>
      <c r="E109" s="280"/>
      <c r="F109" s="49">
        <f t="shared" si="106"/>
        <v>0</v>
      </c>
      <c r="G109" s="280"/>
      <c r="H109" s="49">
        <f t="shared" si="107"/>
        <v>0</v>
      </c>
      <c r="I109" s="280"/>
      <c r="J109" s="49">
        <f t="shared" si="108"/>
        <v>0</v>
      </c>
      <c r="K109" s="280"/>
      <c r="L109" s="49">
        <f t="shared" si="109"/>
        <v>0</v>
      </c>
      <c r="M109" s="280"/>
      <c r="N109" s="49">
        <f t="shared" si="110"/>
        <v>0</v>
      </c>
      <c r="O109" s="280"/>
      <c r="P109" s="49">
        <f t="shared" si="111"/>
        <v>0</v>
      </c>
      <c r="Q109" s="280"/>
      <c r="R109" s="49">
        <f t="shared" si="112"/>
        <v>0</v>
      </c>
      <c r="S109" s="280"/>
      <c r="T109" s="49">
        <f t="shared" si="96"/>
        <v>0</v>
      </c>
      <c r="U109" s="280"/>
      <c r="V109" s="49">
        <f t="shared" si="113"/>
        <v>0</v>
      </c>
      <c r="W109" s="280"/>
      <c r="X109" s="49">
        <f t="shared" si="114"/>
        <v>0</v>
      </c>
      <c r="Y109" s="280"/>
      <c r="Z109" s="49">
        <f t="shared" si="99"/>
        <v>0</v>
      </c>
      <c r="AA109" s="320">
        <f t="shared" si="115"/>
        <v>0</v>
      </c>
      <c r="AB109" s="49">
        <f t="shared" si="119"/>
        <v>0</v>
      </c>
      <c r="AC109" s="124">
        <f t="shared" si="116"/>
        <v>0</v>
      </c>
      <c r="AD109" s="49">
        <f t="shared" si="120"/>
        <v>0</v>
      </c>
      <c r="AE109" s="309"/>
      <c r="AF109" s="309"/>
      <c r="AG109" s="64"/>
      <c r="AI109" s="271"/>
      <c r="AJ109" s="274"/>
      <c r="AK109" s="263"/>
      <c r="AM109" s="64"/>
      <c r="AN109" s="64"/>
      <c r="AO109" s="64"/>
    </row>
    <row r="110" spans="1:41" s="289" customFormat="1">
      <c r="A110" s="2">
        <v>6317</v>
      </c>
      <c r="B110" s="2" t="s">
        <v>243</v>
      </c>
      <c r="C110" s="280"/>
      <c r="D110" s="49">
        <f t="shared" si="105"/>
        <v>0</v>
      </c>
      <c r="E110" s="280">
        <v>135</v>
      </c>
      <c r="F110" s="49">
        <f t="shared" si="106"/>
        <v>5.1657461064807033E-3</v>
      </c>
      <c r="G110" s="280"/>
      <c r="H110" s="49">
        <f t="shared" si="107"/>
        <v>0</v>
      </c>
      <c r="I110" s="280">
        <v>600</v>
      </c>
      <c r="J110" s="49">
        <f t="shared" si="108"/>
        <v>1.5674889748224126E-2</v>
      </c>
      <c r="K110" s="280">
        <v>135</v>
      </c>
      <c r="L110" s="49">
        <f t="shared" si="109"/>
        <v>3.8561589537787619E-3</v>
      </c>
      <c r="M110" s="280"/>
      <c r="N110" s="49">
        <f t="shared" si="110"/>
        <v>0</v>
      </c>
      <c r="O110" s="280"/>
      <c r="P110" s="49">
        <f t="shared" si="111"/>
        <v>0</v>
      </c>
      <c r="Q110" s="280">
        <v>600</v>
      </c>
      <c r="R110" s="49">
        <f t="shared" si="112"/>
        <v>1.5374130145976364E-2</v>
      </c>
      <c r="S110" s="280"/>
      <c r="T110" s="49">
        <f t="shared" si="96"/>
        <v>0</v>
      </c>
      <c r="U110" s="280">
        <v>135</v>
      </c>
      <c r="V110" s="49">
        <f t="shared" si="113"/>
        <v>4.3290617305507227E-3</v>
      </c>
      <c r="W110" s="280"/>
      <c r="X110" s="49">
        <f t="shared" si="114"/>
        <v>0</v>
      </c>
      <c r="Y110" s="280"/>
      <c r="Z110" s="49">
        <f t="shared" si="99"/>
        <v>0</v>
      </c>
      <c r="AA110" s="320">
        <f t="shared" si="115"/>
        <v>1605</v>
      </c>
      <c r="AB110" s="49">
        <f t="shared" si="119"/>
        <v>3.59367608453952E-3</v>
      </c>
      <c r="AC110" s="124">
        <f t="shared" si="116"/>
        <v>133.75</v>
      </c>
      <c r="AD110" s="49">
        <f t="shared" si="120"/>
        <v>3.59367608453952E-3</v>
      </c>
      <c r="AE110" s="309"/>
      <c r="AF110" s="309"/>
      <c r="AG110" s="64"/>
      <c r="AI110" s="271"/>
      <c r="AJ110" s="274"/>
      <c r="AK110" s="263"/>
      <c r="AM110" s="64"/>
      <c r="AN110" s="64"/>
      <c r="AO110" s="64"/>
    </row>
    <row r="111" spans="1:41" s="289" customFormat="1">
      <c r="A111" s="2">
        <v>6318</v>
      </c>
      <c r="B111" s="2" t="s">
        <v>244</v>
      </c>
      <c r="C111" s="280"/>
      <c r="D111" s="49">
        <f t="shared" si="105"/>
        <v>0</v>
      </c>
      <c r="E111" s="280"/>
      <c r="F111" s="49">
        <f t="shared" si="106"/>
        <v>0</v>
      </c>
      <c r="G111" s="280"/>
      <c r="H111" s="49">
        <f t="shared" si="107"/>
        <v>0</v>
      </c>
      <c r="I111" s="280"/>
      <c r="J111" s="49">
        <f t="shared" si="108"/>
        <v>0</v>
      </c>
      <c r="K111" s="280"/>
      <c r="L111" s="49">
        <f t="shared" si="109"/>
        <v>0</v>
      </c>
      <c r="M111" s="280"/>
      <c r="N111" s="49">
        <f t="shared" si="110"/>
        <v>0</v>
      </c>
      <c r="O111" s="280"/>
      <c r="P111" s="49">
        <f t="shared" si="111"/>
        <v>0</v>
      </c>
      <c r="Q111" s="280"/>
      <c r="R111" s="49">
        <f t="shared" si="112"/>
        <v>0</v>
      </c>
      <c r="S111" s="280"/>
      <c r="T111" s="49">
        <f t="shared" si="96"/>
        <v>0</v>
      </c>
      <c r="U111" s="280"/>
      <c r="V111" s="49">
        <f t="shared" si="113"/>
        <v>0</v>
      </c>
      <c r="W111" s="280"/>
      <c r="X111" s="49">
        <f t="shared" si="114"/>
        <v>0</v>
      </c>
      <c r="Y111" s="280"/>
      <c r="Z111" s="49">
        <f t="shared" si="99"/>
        <v>0</v>
      </c>
      <c r="AA111" s="320">
        <f t="shared" si="115"/>
        <v>0</v>
      </c>
      <c r="AB111" s="49">
        <f t="shared" si="119"/>
        <v>0</v>
      </c>
      <c r="AC111" s="124">
        <f t="shared" si="116"/>
        <v>0</v>
      </c>
      <c r="AD111" s="49">
        <f t="shared" si="120"/>
        <v>0</v>
      </c>
      <c r="AE111" s="309"/>
      <c r="AF111" s="309"/>
      <c r="AG111" s="64"/>
      <c r="AI111" s="271"/>
      <c r="AJ111" s="274"/>
      <c r="AK111" s="263"/>
      <c r="AM111" s="64"/>
      <c r="AN111" s="64"/>
      <c r="AO111" s="64"/>
    </row>
    <row r="112" spans="1:41" s="289" customFormat="1">
      <c r="A112" s="2">
        <v>6319</v>
      </c>
      <c r="B112" s="2" t="s">
        <v>245</v>
      </c>
      <c r="C112" s="280"/>
      <c r="D112" s="49">
        <f t="shared" si="105"/>
        <v>0</v>
      </c>
      <c r="E112" s="280">
        <v>360.40000000000003</v>
      </c>
      <c r="F112" s="49">
        <f t="shared" si="106"/>
        <v>1.3790628865004782E-2</v>
      </c>
      <c r="G112" s="280">
        <v>360.40000000000003</v>
      </c>
      <c r="H112" s="49">
        <f t="shared" si="107"/>
        <v>8.3137299011715755E-3</v>
      </c>
      <c r="I112" s="280">
        <v>360.40000000000003</v>
      </c>
      <c r="J112" s="49">
        <f t="shared" si="108"/>
        <v>9.4153837754332934E-3</v>
      </c>
      <c r="K112" s="280">
        <v>360.40000000000003</v>
      </c>
      <c r="L112" s="49">
        <f t="shared" si="109"/>
        <v>1.0294516199569378E-2</v>
      </c>
      <c r="M112" s="280"/>
      <c r="N112" s="49">
        <f t="shared" si="110"/>
        <v>0</v>
      </c>
      <c r="O112" s="280">
        <v>360.40000000000003</v>
      </c>
      <c r="P112" s="49">
        <f t="shared" si="111"/>
        <v>1.1467121660721074E-2</v>
      </c>
      <c r="Q112" s="280">
        <v>360.40000000000003</v>
      </c>
      <c r="R112" s="49">
        <f t="shared" si="112"/>
        <v>9.2347275076831367E-3</v>
      </c>
      <c r="S112" s="280">
        <v>360.40000000000003</v>
      </c>
      <c r="T112" s="49">
        <f t="shared" si="96"/>
        <v>9.1670810882118568E-3</v>
      </c>
      <c r="U112" s="280">
        <v>360.40000000000003</v>
      </c>
      <c r="V112" s="49">
        <f t="shared" si="113"/>
        <v>1.1556991464373931E-2</v>
      </c>
      <c r="W112" s="280">
        <v>360.40000000000003</v>
      </c>
      <c r="X112" s="49">
        <f t="shared" si="114"/>
        <v>1.1358875307654068E-2</v>
      </c>
      <c r="Y112" s="280">
        <v>360.40000000000003</v>
      </c>
      <c r="Z112" s="49">
        <f t="shared" si="99"/>
        <v>7.5191301313024756E-3</v>
      </c>
      <c r="AA112" s="320">
        <f t="shared" si="115"/>
        <v>3604.0000000000005</v>
      </c>
      <c r="AB112" s="49">
        <f t="shared" si="119"/>
        <v>8.0695380739441939E-3</v>
      </c>
      <c r="AC112" s="124">
        <f t="shared" si="116"/>
        <v>300.33333333333337</v>
      </c>
      <c r="AD112" s="49">
        <f t="shared" si="120"/>
        <v>8.0695380739441939E-3</v>
      </c>
      <c r="AE112" s="309"/>
      <c r="AF112" s="309"/>
      <c r="AG112" s="64"/>
      <c r="AI112" s="271"/>
      <c r="AJ112" s="274"/>
      <c r="AK112" s="263"/>
      <c r="AM112" s="64"/>
      <c r="AN112" s="64"/>
      <c r="AO112" s="64"/>
    </row>
    <row r="113" spans="1:41" s="289" customFormat="1">
      <c r="A113" s="2">
        <v>6320</v>
      </c>
      <c r="B113" s="2" t="s">
        <v>246</v>
      </c>
      <c r="C113" s="280"/>
      <c r="D113" s="49">
        <f t="shared" si="105"/>
        <v>0</v>
      </c>
      <c r="E113" s="280"/>
      <c r="F113" s="49">
        <f t="shared" si="106"/>
        <v>0</v>
      </c>
      <c r="G113" s="280"/>
      <c r="H113" s="49">
        <f t="shared" si="107"/>
        <v>0</v>
      </c>
      <c r="I113" s="280"/>
      <c r="J113" s="49">
        <f t="shared" si="108"/>
        <v>0</v>
      </c>
      <c r="K113" s="280"/>
      <c r="L113" s="49">
        <f t="shared" si="109"/>
        <v>0</v>
      </c>
      <c r="M113" s="280"/>
      <c r="N113" s="49">
        <f t="shared" si="110"/>
        <v>0</v>
      </c>
      <c r="O113" s="280"/>
      <c r="P113" s="49">
        <f t="shared" si="111"/>
        <v>0</v>
      </c>
      <c r="Q113" s="280"/>
      <c r="R113" s="49">
        <f t="shared" si="112"/>
        <v>0</v>
      </c>
      <c r="S113" s="280"/>
      <c r="T113" s="49">
        <f t="shared" si="96"/>
        <v>0</v>
      </c>
      <c r="U113" s="280"/>
      <c r="V113" s="49">
        <f t="shared" si="113"/>
        <v>0</v>
      </c>
      <c r="W113" s="280"/>
      <c r="X113" s="49">
        <f t="shared" si="114"/>
        <v>0</v>
      </c>
      <c r="Y113" s="280"/>
      <c r="Z113" s="49">
        <f t="shared" si="99"/>
        <v>0</v>
      </c>
      <c r="AA113" s="320">
        <f t="shared" si="115"/>
        <v>0</v>
      </c>
      <c r="AB113" s="49">
        <f t="shared" si="119"/>
        <v>0</v>
      </c>
      <c r="AC113" s="124">
        <f t="shared" si="116"/>
        <v>0</v>
      </c>
      <c r="AD113" s="49">
        <f t="shared" si="120"/>
        <v>0</v>
      </c>
      <c r="AE113" s="309"/>
      <c r="AF113" s="309"/>
      <c r="AG113" s="64"/>
      <c r="AI113" s="271"/>
      <c r="AJ113" s="274"/>
      <c r="AK113" s="263"/>
      <c r="AM113" s="64"/>
      <c r="AN113" s="64"/>
      <c r="AO113" s="64"/>
    </row>
    <row r="114" spans="1:41" s="289" customFormat="1">
      <c r="A114" s="2">
        <v>6321</v>
      </c>
      <c r="B114" s="2" t="s">
        <v>247</v>
      </c>
      <c r="C114" s="350"/>
      <c r="D114" s="132">
        <f t="shared" si="105"/>
        <v>0</v>
      </c>
      <c r="E114" s="350"/>
      <c r="F114" s="132">
        <f t="shared" si="106"/>
        <v>0</v>
      </c>
      <c r="G114" s="350"/>
      <c r="H114" s="132">
        <f t="shared" si="107"/>
        <v>0</v>
      </c>
      <c r="I114" s="350"/>
      <c r="J114" s="132">
        <f t="shared" si="108"/>
        <v>0</v>
      </c>
      <c r="K114" s="350"/>
      <c r="L114" s="132">
        <f t="shared" si="109"/>
        <v>0</v>
      </c>
      <c r="M114" s="350"/>
      <c r="N114" s="132">
        <f t="shared" si="110"/>
        <v>0</v>
      </c>
      <c r="O114" s="350"/>
      <c r="P114" s="132">
        <f t="shared" si="111"/>
        <v>0</v>
      </c>
      <c r="Q114" s="350"/>
      <c r="R114" s="132">
        <f t="shared" si="112"/>
        <v>0</v>
      </c>
      <c r="S114" s="350"/>
      <c r="T114" s="132">
        <f t="shared" si="96"/>
        <v>0</v>
      </c>
      <c r="U114" s="350"/>
      <c r="V114" s="132">
        <f t="shared" si="113"/>
        <v>0</v>
      </c>
      <c r="W114" s="350"/>
      <c r="X114" s="132">
        <f t="shared" si="114"/>
        <v>0</v>
      </c>
      <c r="Y114" s="350"/>
      <c r="Z114" s="132">
        <f t="shared" si="99"/>
        <v>0</v>
      </c>
      <c r="AA114" s="583">
        <f t="shared" si="115"/>
        <v>0</v>
      </c>
      <c r="AB114" s="132">
        <f t="shared" si="119"/>
        <v>0</v>
      </c>
      <c r="AC114" s="584">
        <f t="shared" si="116"/>
        <v>0</v>
      </c>
      <c r="AD114" s="132">
        <f t="shared" si="120"/>
        <v>0</v>
      </c>
      <c r="AE114" s="309"/>
      <c r="AF114" s="309"/>
      <c r="AG114" s="64"/>
      <c r="AI114" s="271"/>
      <c r="AJ114" s="274"/>
      <c r="AK114" s="263"/>
      <c r="AM114" s="64"/>
      <c r="AN114" s="64"/>
      <c r="AO114" s="64"/>
    </row>
    <row r="115" spans="1:41" s="1" customFormat="1" ht="15.75" thickBot="1">
      <c r="A115" s="4">
        <v>6399</v>
      </c>
      <c r="B115" s="4" t="s">
        <v>115</v>
      </c>
      <c r="C115" s="344">
        <f>SUM(C94:C114)</f>
        <v>585.03118443093717</v>
      </c>
      <c r="D115" s="345">
        <f>C115/C12</f>
        <v>1.7416307476137573E-2</v>
      </c>
      <c r="E115" s="344">
        <f>SUM(E94:E114)</f>
        <v>595.96321474283002</v>
      </c>
      <c r="F115" s="345">
        <f>E115/E12</f>
        <v>2.2804404860470352E-2</v>
      </c>
      <c r="G115" s="344">
        <f>SUM(G94:G114)</f>
        <v>795.29649970874766</v>
      </c>
      <c r="H115" s="345">
        <f>G115/G12</f>
        <v>1.8345949750071325E-2</v>
      </c>
      <c r="I115" s="344">
        <f>SUM(I94:I114)</f>
        <v>1054.0247391789735</v>
      </c>
      <c r="J115" s="345">
        <f>I115/I12</f>
        <v>2.753620263088517E-2</v>
      </c>
      <c r="K115" s="344">
        <f>SUM(K94:K114)</f>
        <v>993.42634043137105</v>
      </c>
      <c r="L115" s="345">
        <f>K115/K12</f>
        <v>2.8376369463511852E-2</v>
      </c>
      <c r="M115" s="344">
        <f>SUM(M94:M114)</f>
        <v>165.10650927944141</v>
      </c>
      <c r="N115" s="345">
        <f>M115/M12</f>
        <v>3.3259319885611122E-3</v>
      </c>
      <c r="O115" s="344">
        <f>SUM(O94:O114)</f>
        <v>640.46869289105939</v>
      </c>
      <c r="P115" s="345">
        <f>O115/O12</f>
        <v>2.0378280858115369E-2</v>
      </c>
      <c r="Q115" s="344">
        <f>SUM(Q94:Q114)</f>
        <v>1274.5204668619899</v>
      </c>
      <c r="R115" s="345">
        <f>Q115/Q12</f>
        <v>3.2657739218744646E-2</v>
      </c>
      <c r="S115" s="344">
        <f>SUM(S94:S114)</f>
        <v>610.97481034723648</v>
      </c>
      <c r="T115" s="345">
        <f>S115/S12</f>
        <v>1.5540664898190833E-2</v>
      </c>
      <c r="U115" s="344">
        <f>SUM(U94:U114)</f>
        <v>719.62592515000665</v>
      </c>
      <c r="V115" s="345">
        <f>U115/U12</f>
        <v>2.307633372503002E-2</v>
      </c>
      <c r="W115" s="344">
        <f>SUM(W94:W114)</f>
        <v>572.55335607143536</v>
      </c>
      <c r="X115" s="345">
        <f>W115/W12</f>
        <v>1.804540005159349E-2</v>
      </c>
      <c r="Y115" s="344">
        <f>SUM(Y94:Y114)</f>
        <v>682.30579978492642</v>
      </c>
      <c r="Z115" s="345">
        <f>Y115/Y12</f>
        <v>1.4235144555841493E-2</v>
      </c>
      <c r="AA115" s="344">
        <f>SUM(AA94:AA114)</f>
        <v>8689.2975388789546</v>
      </c>
      <c r="AB115" s="345">
        <f>AA115/AA12</f>
        <v>1.9455776172534214E-2</v>
      </c>
      <c r="AC115" s="346">
        <f t="shared" ref="AC115" si="121">AA115/12</f>
        <v>724.10812823991284</v>
      </c>
      <c r="AD115" s="345">
        <f>AC115/AC12</f>
        <v>1.945577617253421E-2</v>
      </c>
      <c r="AE115" s="310"/>
      <c r="AF115" s="310"/>
      <c r="AG115" s="64"/>
      <c r="AI115" s="271"/>
      <c r="AJ115" s="274"/>
      <c r="AK115" s="263">
        <f t="shared" si="104"/>
        <v>44228.524472893885</v>
      </c>
      <c r="AM115" s="64">
        <f t="shared" si="85"/>
        <v>8689.2975388789564</v>
      </c>
      <c r="AN115" s="64">
        <f t="shared" si="86"/>
        <v>0</v>
      </c>
      <c r="AO115" s="64">
        <f t="shared" si="87"/>
        <v>6487.3091763275288</v>
      </c>
    </row>
    <row r="116" spans="1:41" s="1" customFormat="1" ht="15.75" thickTop="1">
      <c r="A116" s="20">
        <v>6401</v>
      </c>
      <c r="B116" s="20" t="s">
        <v>89</v>
      </c>
      <c r="C116" s="62"/>
      <c r="D116" s="49">
        <f t="shared" ref="D116:D122" si="122">C116/C$12</f>
        <v>0</v>
      </c>
      <c r="E116" s="55"/>
      <c r="F116" s="49">
        <f t="shared" ref="F116:F122" si="123">E116/E$12</f>
        <v>0</v>
      </c>
      <c r="G116" s="62"/>
      <c r="H116" s="49">
        <f t="shared" ref="H116:H122" si="124">G116/G$12</f>
        <v>0</v>
      </c>
      <c r="I116" s="62"/>
      <c r="J116" s="49">
        <f t="shared" ref="J116:J122" si="125">I116/I$12</f>
        <v>0</v>
      </c>
      <c r="K116" s="26"/>
      <c r="L116" s="49">
        <f t="shared" ref="L116:L122" si="126">K116/K$12</f>
        <v>0</v>
      </c>
      <c r="M116" s="26"/>
      <c r="N116" s="49">
        <f t="shared" ref="N116:N122" si="127">M116/M$12</f>
        <v>0</v>
      </c>
      <c r="O116" s="26"/>
      <c r="P116" s="49">
        <f t="shared" ref="P116:P122" si="128">O116/O$12</f>
        <v>0</v>
      </c>
      <c r="Q116" s="62"/>
      <c r="R116" s="49">
        <f t="shared" ref="R116:R122" si="129">Q116/Q$12</f>
        <v>0</v>
      </c>
      <c r="S116" s="62"/>
      <c r="T116" s="49">
        <f t="shared" ref="T116:T122" si="130">S116/S$12</f>
        <v>0</v>
      </c>
      <c r="U116" s="62"/>
      <c r="V116" s="49">
        <f t="shared" ref="V116:V122" si="131">U116/U$12</f>
        <v>0</v>
      </c>
      <c r="W116" s="62"/>
      <c r="X116" s="49">
        <f t="shared" ref="X116:X122" si="132">W116/W$12</f>
        <v>0</v>
      </c>
      <c r="Y116" s="62"/>
      <c r="Z116" s="49">
        <f t="shared" ref="Z116:Z122" si="133">Y116/Y$12</f>
        <v>0</v>
      </c>
      <c r="AA116" s="105">
        <f t="shared" ref="AA116:AA128" si="134">C116+E116+G116+I116+K116+M116+O116+Q116+S116+U116+W116+Y116</f>
        <v>0</v>
      </c>
      <c r="AB116" s="108">
        <f t="shared" si="101"/>
        <v>0</v>
      </c>
      <c r="AC116" s="89">
        <f t="shared" ref="AC116:AC128" si="135">AA116/12</f>
        <v>0</v>
      </c>
      <c r="AD116" s="92">
        <f t="shared" si="103"/>
        <v>0</v>
      </c>
      <c r="AE116" s="309"/>
      <c r="AF116" s="309"/>
      <c r="AG116" s="64"/>
      <c r="AI116" s="271"/>
      <c r="AJ116" s="274"/>
      <c r="AK116" s="263">
        <f t="shared" si="104"/>
        <v>0</v>
      </c>
      <c r="AM116" s="64">
        <f t="shared" si="85"/>
        <v>0</v>
      </c>
      <c r="AN116" s="64">
        <f t="shared" si="86"/>
        <v>0</v>
      </c>
      <c r="AO116" s="64">
        <f t="shared" si="87"/>
        <v>0</v>
      </c>
    </row>
    <row r="117" spans="1:41" s="1" customFormat="1">
      <c r="A117" s="128">
        <v>6402</v>
      </c>
      <c r="B117" s="20" t="s">
        <v>75</v>
      </c>
      <c r="C117" s="176">
        <v>100</v>
      </c>
      <c r="D117" s="49">
        <f t="shared" si="122"/>
        <v>2.9769878836593136E-3</v>
      </c>
      <c r="E117" s="176">
        <v>100</v>
      </c>
      <c r="F117" s="49">
        <f t="shared" si="123"/>
        <v>3.8264785973931136E-3</v>
      </c>
      <c r="G117" s="176">
        <v>100</v>
      </c>
      <c r="H117" s="49">
        <f t="shared" si="124"/>
        <v>2.3068062988822347E-3</v>
      </c>
      <c r="I117" s="176">
        <v>100</v>
      </c>
      <c r="J117" s="49">
        <f t="shared" si="125"/>
        <v>2.612481624704021E-3</v>
      </c>
      <c r="K117" s="176">
        <v>100</v>
      </c>
      <c r="L117" s="49">
        <f t="shared" si="126"/>
        <v>2.8564140398361199E-3</v>
      </c>
      <c r="M117" s="176">
        <v>100</v>
      </c>
      <c r="N117" s="49">
        <f t="shared" si="127"/>
        <v>2.0144160294322494E-3</v>
      </c>
      <c r="O117" s="176">
        <v>100</v>
      </c>
      <c r="P117" s="49">
        <f t="shared" si="128"/>
        <v>3.1817762654608971E-3</v>
      </c>
      <c r="Q117" s="176">
        <v>100</v>
      </c>
      <c r="R117" s="49">
        <f t="shared" si="129"/>
        <v>2.5623550243293941E-3</v>
      </c>
      <c r="S117" s="176">
        <v>100</v>
      </c>
      <c r="T117" s="49">
        <f t="shared" si="130"/>
        <v>2.5435852076059529E-3</v>
      </c>
      <c r="U117" s="176">
        <v>100</v>
      </c>
      <c r="V117" s="49">
        <f t="shared" si="131"/>
        <v>3.2067123930005353E-3</v>
      </c>
      <c r="W117" s="176">
        <v>100</v>
      </c>
      <c r="X117" s="49">
        <f t="shared" si="132"/>
        <v>3.151741206341306E-3</v>
      </c>
      <c r="Y117" s="176">
        <v>100</v>
      </c>
      <c r="Z117" s="49">
        <f t="shared" si="133"/>
        <v>2.0863291152337609E-3</v>
      </c>
      <c r="AA117" s="105">
        <f t="shared" si="134"/>
        <v>1200</v>
      </c>
      <c r="AB117" s="108">
        <f t="shared" si="101"/>
        <v>2.6868606239547816E-3</v>
      </c>
      <c r="AC117" s="89">
        <f t="shared" si="135"/>
        <v>100</v>
      </c>
      <c r="AD117" s="92">
        <f t="shared" si="103"/>
        <v>2.6868606239547816E-3</v>
      </c>
      <c r="AE117" s="309"/>
      <c r="AF117" s="309"/>
      <c r="AG117" s="64"/>
      <c r="AI117" s="271"/>
      <c r="AJ117" s="274"/>
      <c r="AK117" s="263">
        <f t="shared" si="104"/>
        <v>6108</v>
      </c>
      <c r="AM117" s="64">
        <f t="shared" si="85"/>
        <v>1200</v>
      </c>
      <c r="AN117" s="64">
        <f t="shared" si="86"/>
        <v>0</v>
      </c>
      <c r="AO117" s="64">
        <f t="shared" si="87"/>
        <v>509</v>
      </c>
    </row>
    <row r="118" spans="1:41" s="289" customFormat="1">
      <c r="A118" s="128">
        <v>6403</v>
      </c>
      <c r="B118" s="20" t="s">
        <v>277</v>
      </c>
      <c r="C118" s="176"/>
      <c r="D118" s="49"/>
      <c r="E118" s="176"/>
      <c r="F118" s="49"/>
      <c r="G118" s="176"/>
      <c r="H118" s="49"/>
      <c r="I118" s="176"/>
      <c r="J118" s="49"/>
      <c r="K118" s="176"/>
      <c r="L118" s="49"/>
      <c r="M118" s="176"/>
      <c r="N118" s="49"/>
      <c r="O118" s="176"/>
      <c r="P118" s="49"/>
      <c r="Q118" s="176"/>
      <c r="R118" s="49"/>
      <c r="S118" s="176"/>
      <c r="T118" s="49"/>
      <c r="U118" s="176"/>
      <c r="V118" s="49"/>
      <c r="W118" s="176"/>
      <c r="X118" s="49"/>
      <c r="Y118" s="176"/>
      <c r="Z118" s="49"/>
      <c r="AA118" s="105">
        <f t="shared" si="134"/>
        <v>0</v>
      </c>
      <c r="AB118" s="108">
        <f t="shared" si="101"/>
        <v>0</v>
      </c>
      <c r="AC118" s="89">
        <f t="shared" si="135"/>
        <v>0</v>
      </c>
      <c r="AD118" s="92">
        <f t="shared" si="103"/>
        <v>0</v>
      </c>
      <c r="AE118" s="309"/>
      <c r="AF118" s="309"/>
      <c r="AG118" s="64"/>
      <c r="AI118" s="271"/>
      <c r="AJ118" s="274"/>
      <c r="AK118" s="263"/>
      <c r="AM118" s="64"/>
      <c r="AN118" s="64"/>
      <c r="AO118" s="64"/>
    </row>
    <row r="119" spans="1:41" s="1" customFormat="1">
      <c r="A119" s="2">
        <v>6404</v>
      </c>
      <c r="B119" s="147" t="s">
        <v>92</v>
      </c>
      <c r="C119" s="176">
        <v>250</v>
      </c>
      <c r="D119" s="49">
        <f t="shared" si="122"/>
        <v>7.4424697091482837E-3</v>
      </c>
      <c r="E119" s="176">
        <v>250</v>
      </c>
      <c r="F119" s="49">
        <f t="shared" si="123"/>
        <v>9.5661964934827832E-3</v>
      </c>
      <c r="G119" s="176">
        <v>250</v>
      </c>
      <c r="H119" s="49">
        <f t="shared" si="124"/>
        <v>5.7670157472055868E-3</v>
      </c>
      <c r="I119" s="176">
        <v>250</v>
      </c>
      <c r="J119" s="49">
        <f t="shared" si="125"/>
        <v>6.5312040617600525E-3</v>
      </c>
      <c r="K119" s="176">
        <v>250</v>
      </c>
      <c r="L119" s="49">
        <f t="shared" si="126"/>
        <v>7.1410350995903E-3</v>
      </c>
      <c r="M119" s="176">
        <v>250</v>
      </c>
      <c r="N119" s="49">
        <f t="shared" si="127"/>
        <v>5.0360400735806237E-3</v>
      </c>
      <c r="O119" s="176">
        <v>250</v>
      </c>
      <c r="P119" s="49">
        <f t="shared" si="128"/>
        <v>7.9544406636522427E-3</v>
      </c>
      <c r="Q119" s="176">
        <v>250</v>
      </c>
      <c r="R119" s="49">
        <f t="shared" si="129"/>
        <v>6.4058875608234847E-3</v>
      </c>
      <c r="S119" s="176">
        <v>250</v>
      </c>
      <c r="T119" s="49">
        <f t="shared" si="130"/>
        <v>6.358963019014883E-3</v>
      </c>
      <c r="U119" s="176">
        <v>250</v>
      </c>
      <c r="V119" s="49">
        <f t="shared" si="131"/>
        <v>8.0167809825013384E-3</v>
      </c>
      <c r="W119" s="176">
        <v>250</v>
      </c>
      <c r="X119" s="49">
        <f t="shared" si="132"/>
        <v>7.8793530158532653E-3</v>
      </c>
      <c r="Y119" s="176">
        <v>250</v>
      </c>
      <c r="Z119" s="49">
        <f t="shared" si="133"/>
        <v>5.2158227880844026E-3</v>
      </c>
      <c r="AA119" s="105">
        <f t="shared" si="134"/>
        <v>3000</v>
      </c>
      <c r="AB119" s="108">
        <f t="shared" si="101"/>
        <v>6.7171515598869538E-3</v>
      </c>
      <c r="AC119" s="89">
        <f t="shared" si="135"/>
        <v>250</v>
      </c>
      <c r="AD119" s="92">
        <f t="shared" si="103"/>
        <v>6.7171515598869538E-3</v>
      </c>
      <c r="AE119" s="309"/>
      <c r="AF119" s="309"/>
      <c r="AG119" s="64"/>
      <c r="AI119" s="271"/>
      <c r="AJ119" s="274"/>
      <c r="AK119" s="263">
        <f t="shared" si="104"/>
        <v>15270</v>
      </c>
      <c r="AM119" s="64">
        <f t="shared" si="85"/>
        <v>3000</v>
      </c>
      <c r="AN119" s="64">
        <f t="shared" si="86"/>
        <v>0</v>
      </c>
      <c r="AO119" s="64">
        <f t="shared" si="87"/>
        <v>1272.5</v>
      </c>
    </row>
    <row r="120" spans="1:41" s="1" customFormat="1">
      <c r="A120" s="2">
        <v>6406</v>
      </c>
      <c r="B120" s="147" t="s">
        <v>72</v>
      </c>
      <c r="C120" s="62">
        <v>150</v>
      </c>
      <c r="D120" s="49">
        <f t="shared" si="122"/>
        <v>4.46548182548897E-3</v>
      </c>
      <c r="E120" s="62">
        <v>150</v>
      </c>
      <c r="F120" s="49">
        <f t="shared" si="123"/>
        <v>5.7397178960896704E-3</v>
      </c>
      <c r="G120" s="62">
        <v>150</v>
      </c>
      <c r="H120" s="49">
        <f t="shared" si="124"/>
        <v>3.4602094483233521E-3</v>
      </c>
      <c r="I120" s="62">
        <v>150</v>
      </c>
      <c r="J120" s="49">
        <f t="shared" si="125"/>
        <v>3.9187224370560315E-3</v>
      </c>
      <c r="K120" s="62">
        <v>150</v>
      </c>
      <c r="L120" s="49">
        <f t="shared" si="126"/>
        <v>4.2846210597541796E-3</v>
      </c>
      <c r="M120" s="62">
        <v>150</v>
      </c>
      <c r="N120" s="49">
        <f t="shared" si="127"/>
        <v>3.0216240441483743E-3</v>
      </c>
      <c r="O120" s="62">
        <v>150</v>
      </c>
      <c r="P120" s="49">
        <f t="shared" si="128"/>
        <v>4.7726643981913456E-3</v>
      </c>
      <c r="Q120" s="62">
        <v>150</v>
      </c>
      <c r="R120" s="49">
        <f t="shared" si="129"/>
        <v>3.8435325364940911E-3</v>
      </c>
      <c r="S120" s="62">
        <v>150</v>
      </c>
      <c r="T120" s="49">
        <f t="shared" si="130"/>
        <v>3.8153778114089296E-3</v>
      </c>
      <c r="U120" s="62">
        <v>150</v>
      </c>
      <c r="V120" s="49">
        <f t="shared" si="131"/>
        <v>4.810068589500803E-3</v>
      </c>
      <c r="W120" s="62">
        <v>150</v>
      </c>
      <c r="X120" s="49">
        <f t="shared" si="132"/>
        <v>4.7276118095119588E-3</v>
      </c>
      <c r="Y120" s="62">
        <v>150</v>
      </c>
      <c r="Z120" s="49">
        <f t="shared" si="133"/>
        <v>3.1294936728506412E-3</v>
      </c>
      <c r="AA120" s="105">
        <f t="shared" si="134"/>
        <v>1800</v>
      </c>
      <c r="AB120" s="108">
        <f t="shared" si="101"/>
        <v>4.0302909359321718E-3</v>
      </c>
      <c r="AC120" s="290">
        <f t="shared" si="135"/>
        <v>150</v>
      </c>
      <c r="AD120" s="92">
        <f t="shared" si="103"/>
        <v>4.0302909359321718E-3</v>
      </c>
      <c r="AE120" s="309"/>
      <c r="AF120" s="309"/>
      <c r="AG120" s="64"/>
      <c r="AI120" s="271"/>
      <c r="AJ120" s="274"/>
      <c r="AK120" s="263">
        <f t="shared" si="104"/>
        <v>9162</v>
      </c>
      <c r="AM120" s="64">
        <f t="shared" si="85"/>
        <v>1800</v>
      </c>
      <c r="AN120" s="64">
        <f t="shared" si="86"/>
        <v>0</v>
      </c>
      <c r="AO120" s="64">
        <f t="shared" si="87"/>
        <v>763.5</v>
      </c>
    </row>
    <row r="121" spans="1:41" s="1" customFormat="1">
      <c r="A121" s="2">
        <v>6407</v>
      </c>
      <c r="B121" s="147" t="s">
        <v>73</v>
      </c>
      <c r="C121" s="62">
        <v>0</v>
      </c>
      <c r="D121" s="49">
        <f t="shared" si="122"/>
        <v>0</v>
      </c>
      <c r="E121" s="62">
        <v>0</v>
      </c>
      <c r="F121" s="49">
        <f t="shared" si="123"/>
        <v>0</v>
      </c>
      <c r="G121" s="62">
        <v>0</v>
      </c>
      <c r="H121" s="49">
        <f t="shared" si="124"/>
        <v>0</v>
      </c>
      <c r="I121" s="62">
        <v>0</v>
      </c>
      <c r="J121" s="49">
        <f t="shared" si="125"/>
        <v>0</v>
      </c>
      <c r="K121" s="62">
        <v>0</v>
      </c>
      <c r="L121" s="49">
        <f t="shared" si="126"/>
        <v>0</v>
      </c>
      <c r="M121" s="62">
        <v>0</v>
      </c>
      <c r="N121" s="49">
        <f t="shared" si="127"/>
        <v>0</v>
      </c>
      <c r="O121" s="62">
        <v>0</v>
      </c>
      <c r="P121" s="49">
        <f t="shared" si="128"/>
        <v>0</v>
      </c>
      <c r="Q121" s="62">
        <v>0</v>
      </c>
      <c r="R121" s="49">
        <f t="shared" si="129"/>
        <v>0</v>
      </c>
      <c r="S121" s="62">
        <v>0</v>
      </c>
      <c r="T121" s="49">
        <f t="shared" si="130"/>
        <v>0</v>
      </c>
      <c r="U121" s="62">
        <v>0</v>
      </c>
      <c r="V121" s="49">
        <f t="shared" si="131"/>
        <v>0</v>
      </c>
      <c r="W121" s="62">
        <v>0</v>
      </c>
      <c r="X121" s="49">
        <f t="shared" si="132"/>
        <v>0</v>
      </c>
      <c r="Y121" s="62">
        <v>0</v>
      </c>
      <c r="Z121" s="49">
        <f t="shared" si="133"/>
        <v>0</v>
      </c>
      <c r="AA121" s="105">
        <f t="shared" si="134"/>
        <v>0</v>
      </c>
      <c r="AB121" s="108">
        <f t="shared" si="101"/>
        <v>0</v>
      </c>
      <c r="AC121" s="89">
        <f t="shared" si="135"/>
        <v>0</v>
      </c>
      <c r="AD121" s="92">
        <f t="shared" si="103"/>
        <v>0</v>
      </c>
      <c r="AE121" s="309"/>
      <c r="AF121" s="309"/>
      <c r="AG121" s="64"/>
      <c r="AI121" s="271"/>
      <c r="AJ121" s="274"/>
      <c r="AK121" s="263">
        <f t="shared" si="104"/>
        <v>0</v>
      </c>
      <c r="AM121" s="64">
        <f t="shared" si="85"/>
        <v>0</v>
      </c>
      <c r="AN121" s="64">
        <f t="shared" si="86"/>
        <v>0</v>
      </c>
      <c r="AO121" s="64">
        <f t="shared" si="87"/>
        <v>0</v>
      </c>
    </row>
    <row r="122" spans="1:41" s="1" customFormat="1">
      <c r="A122" s="2">
        <v>6408</v>
      </c>
      <c r="B122" s="147" t="s">
        <v>42</v>
      </c>
      <c r="C122" s="62">
        <v>0</v>
      </c>
      <c r="D122" s="49">
        <f t="shared" si="122"/>
        <v>0</v>
      </c>
      <c r="E122" s="62">
        <v>0</v>
      </c>
      <c r="F122" s="49">
        <f t="shared" si="123"/>
        <v>0</v>
      </c>
      <c r="G122" s="62">
        <v>0</v>
      </c>
      <c r="H122" s="49">
        <f t="shared" si="124"/>
        <v>0</v>
      </c>
      <c r="I122" s="62">
        <v>0</v>
      </c>
      <c r="J122" s="49">
        <f t="shared" si="125"/>
        <v>0</v>
      </c>
      <c r="K122" s="62">
        <v>0</v>
      </c>
      <c r="L122" s="49">
        <f t="shared" si="126"/>
        <v>0</v>
      </c>
      <c r="M122" s="62">
        <v>0</v>
      </c>
      <c r="N122" s="49">
        <f t="shared" si="127"/>
        <v>0</v>
      </c>
      <c r="O122" s="62">
        <v>0</v>
      </c>
      <c r="P122" s="49">
        <f t="shared" si="128"/>
        <v>0</v>
      </c>
      <c r="Q122" s="62">
        <v>0</v>
      </c>
      <c r="R122" s="49">
        <f t="shared" si="129"/>
        <v>0</v>
      </c>
      <c r="S122" s="62">
        <v>0</v>
      </c>
      <c r="T122" s="49">
        <f t="shared" si="130"/>
        <v>0</v>
      </c>
      <c r="U122" s="62">
        <v>0</v>
      </c>
      <c r="V122" s="49">
        <f t="shared" si="131"/>
        <v>0</v>
      </c>
      <c r="W122" s="62">
        <v>0</v>
      </c>
      <c r="X122" s="49">
        <f t="shared" si="132"/>
        <v>0</v>
      </c>
      <c r="Y122" s="62">
        <v>0</v>
      </c>
      <c r="Z122" s="49">
        <f t="shared" si="133"/>
        <v>0</v>
      </c>
      <c r="AA122" s="105">
        <f t="shared" si="134"/>
        <v>0</v>
      </c>
      <c r="AB122" s="108">
        <f t="shared" si="101"/>
        <v>0</v>
      </c>
      <c r="AC122" s="89">
        <f t="shared" si="135"/>
        <v>0</v>
      </c>
      <c r="AD122" s="92">
        <f t="shared" si="103"/>
        <v>0</v>
      </c>
      <c r="AE122" s="309"/>
      <c r="AF122" s="309"/>
      <c r="AG122" s="64"/>
      <c r="AI122" s="271"/>
      <c r="AJ122" s="274"/>
      <c r="AK122" s="263">
        <f t="shared" si="104"/>
        <v>0</v>
      </c>
      <c r="AM122" s="64">
        <f t="shared" si="85"/>
        <v>0</v>
      </c>
      <c r="AN122" s="64">
        <f t="shared" si="86"/>
        <v>0</v>
      </c>
      <c r="AO122" s="64">
        <f t="shared" si="87"/>
        <v>0</v>
      </c>
    </row>
    <row r="123" spans="1:41" s="1" customFormat="1">
      <c r="A123" s="2">
        <v>6410</v>
      </c>
      <c r="B123" s="147" t="s">
        <v>105</v>
      </c>
      <c r="C123" s="62"/>
      <c r="D123" s="49"/>
      <c r="E123" s="62"/>
      <c r="F123" s="49"/>
      <c r="G123" s="62"/>
      <c r="H123" s="49"/>
      <c r="I123" s="62"/>
      <c r="J123" s="49"/>
      <c r="K123" s="62"/>
      <c r="L123" s="49"/>
      <c r="M123" s="62"/>
      <c r="N123" s="49"/>
      <c r="O123" s="62"/>
      <c r="P123" s="49"/>
      <c r="Q123" s="62"/>
      <c r="R123" s="49"/>
      <c r="S123" s="62"/>
      <c r="T123" s="49"/>
      <c r="U123" s="62"/>
      <c r="V123" s="49"/>
      <c r="W123" s="62"/>
      <c r="X123" s="49"/>
      <c r="Y123" s="62"/>
      <c r="Z123" s="49"/>
      <c r="AA123" s="105">
        <f t="shared" si="134"/>
        <v>0</v>
      </c>
      <c r="AB123" s="108">
        <f t="shared" si="101"/>
        <v>0</v>
      </c>
      <c r="AC123" s="89">
        <f t="shared" si="135"/>
        <v>0</v>
      </c>
      <c r="AD123" s="92">
        <f t="shared" si="103"/>
        <v>0</v>
      </c>
      <c r="AE123" s="309"/>
      <c r="AF123" s="309"/>
      <c r="AG123" s="64"/>
      <c r="AI123" s="271"/>
      <c r="AJ123" s="274"/>
      <c r="AK123" s="263">
        <f t="shared" ref="AK123:AK152" si="136">C123*5.09+E123*5.09+G123*5.09+I123*5.09+K123*5.09+M123*5.09+O123*5.09+Q123*5.09+S123*5.09+U123*5.09+W123*5.09+Y123*5.09</f>
        <v>0</v>
      </c>
      <c r="AM123" s="64">
        <f t="shared" si="85"/>
        <v>0</v>
      </c>
      <c r="AN123" s="64">
        <f t="shared" si="86"/>
        <v>0</v>
      </c>
      <c r="AO123" s="64">
        <f t="shared" si="87"/>
        <v>0</v>
      </c>
    </row>
    <row r="124" spans="1:41" s="1" customFormat="1">
      <c r="A124" s="2">
        <v>6411</v>
      </c>
      <c r="B124" s="147" t="s">
        <v>117</v>
      </c>
      <c r="C124" s="62"/>
      <c r="D124" s="49"/>
      <c r="E124" s="62"/>
      <c r="F124" s="49"/>
      <c r="G124" s="62"/>
      <c r="H124" s="49"/>
      <c r="I124" s="62"/>
      <c r="J124" s="49"/>
      <c r="K124" s="62"/>
      <c r="L124" s="49"/>
      <c r="M124" s="62"/>
      <c r="N124" s="49"/>
      <c r="O124" s="62"/>
      <c r="P124" s="49"/>
      <c r="Q124" s="62"/>
      <c r="R124" s="49"/>
      <c r="S124" s="62"/>
      <c r="T124" s="49"/>
      <c r="U124" s="62"/>
      <c r="V124" s="49"/>
      <c r="W124" s="62"/>
      <c r="X124" s="49"/>
      <c r="Y124" s="62"/>
      <c r="Z124" s="49"/>
      <c r="AA124" s="105">
        <f t="shared" si="134"/>
        <v>0</v>
      </c>
      <c r="AB124" s="108">
        <f t="shared" si="101"/>
        <v>0</v>
      </c>
      <c r="AC124" s="89">
        <f t="shared" si="135"/>
        <v>0</v>
      </c>
      <c r="AD124" s="92">
        <f t="shared" si="103"/>
        <v>0</v>
      </c>
      <c r="AE124" s="309"/>
      <c r="AF124" s="309"/>
      <c r="AG124" s="64"/>
      <c r="AI124" s="271"/>
      <c r="AJ124" s="274"/>
      <c r="AK124" s="263">
        <f t="shared" si="136"/>
        <v>0</v>
      </c>
      <c r="AM124" s="64">
        <f t="shared" si="85"/>
        <v>0</v>
      </c>
      <c r="AN124" s="64">
        <f t="shared" si="86"/>
        <v>0</v>
      </c>
      <c r="AO124" s="64">
        <f t="shared" si="87"/>
        <v>0</v>
      </c>
    </row>
    <row r="125" spans="1:41" s="1" customFormat="1">
      <c r="A125" s="2">
        <v>6412</v>
      </c>
      <c r="B125" s="147" t="s">
        <v>93</v>
      </c>
      <c r="C125" s="62"/>
      <c r="D125" s="49">
        <f>C125/C$12</f>
        <v>0</v>
      </c>
      <c r="E125" s="62"/>
      <c r="F125" s="49">
        <f>E125/E$12</f>
        <v>0</v>
      </c>
      <c r="G125" s="62"/>
      <c r="H125" s="49">
        <f>G125/G$12</f>
        <v>0</v>
      </c>
      <c r="I125" s="62"/>
      <c r="J125" s="49">
        <f>I125/I$12</f>
        <v>0</v>
      </c>
      <c r="K125" s="62"/>
      <c r="L125" s="49">
        <f>K125/K$12</f>
        <v>0</v>
      </c>
      <c r="M125" s="62"/>
      <c r="N125" s="49">
        <f>M125/M$12</f>
        <v>0</v>
      </c>
      <c r="O125" s="62"/>
      <c r="P125" s="49">
        <f>O125/O$12</f>
        <v>0</v>
      </c>
      <c r="Q125" s="62"/>
      <c r="R125" s="49">
        <f>Q125/Q$12</f>
        <v>0</v>
      </c>
      <c r="S125" s="62"/>
      <c r="T125" s="49">
        <f>S125/S$12</f>
        <v>0</v>
      </c>
      <c r="U125" s="62"/>
      <c r="V125" s="49">
        <f>U125/U$12</f>
        <v>0</v>
      </c>
      <c r="W125" s="62"/>
      <c r="X125" s="49">
        <f>W125/W$12</f>
        <v>0</v>
      </c>
      <c r="Y125" s="62"/>
      <c r="Z125" s="49">
        <f>Y125/Y$12</f>
        <v>0</v>
      </c>
      <c r="AA125" s="105">
        <f t="shared" si="134"/>
        <v>0</v>
      </c>
      <c r="AB125" s="108">
        <f t="shared" si="101"/>
        <v>0</v>
      </c>
      <c r="AC125" s="89">
        <f t="shared" si="135"/>
        <v>0</v>
      </c>
      <c r="AD125" s="92">
        <f t="shared" si="103"/>
        <v>0</v>
      </c>
      <c r="AE125" s="309"/>
      <c r="AF125" s="309"/>
      <c r="AG125" s="64"/>
      <c r="AI125" s="271"/>
      <c r="AJ125" s="274"/>
      <c r="AK125" s="263">
        <f t="shared" si="136"/>
        <v>0</v>
      </c>
      <c r="AM125" s="64">
        <f t="shared" si="85"/>
        <v>0</v>
      </c>
      <c r="AN125" s="64">
        <f t="shared" si="86"/>
        <v>0</v>
      </c>
      <c r="AO125" s="64">
        <f t="shared" si="87"/>
        <v>0</v>
      </c>
    </row>
    <row r="126" spans="1:41" s="1" customFormat="1">
      <c r="A126" s="128">
        <v>6413</v>
      </c>
      <c r="B126" s="20" t="s">
        <v>41</v>
      </c>
      <c r="C126" s="62">
        <f>C16*1%</f>
        <v>335.91</v>
      </c>
      <c r="D126" s="49">
        <f>C126/C$12</f>
        <v>0.01</v>
      </c>
      <c r="E126" s="62">
        <f>E16*1%</f>
        <v>261.33688574170401</v>
      </c>
      <c r="F126" s="49">
        <f>E126/E$12</f>
        <v>9.9999999999999985E-3</v>
      </c>
      <c r="G126" s="62">
        <f>G16*1%</f>
        <v>433.49977000000001</v>
      </c>
      <c r="H126" s="49">
        <f>G126/G$12</f>
        <v>0.01</v>
      </c>
      <c r="I126" s="62">
        <f>I16*1%</f>
        <v>382.77781192558405</v>
      </c>
      <c r="J126" s="49">
        <f>I126/I$12</f>
        <v>0.01</v>
      </c>
      <c r="K126" s="62">
        <f>K16*1%</f>
        <v>350.08930289999995</v>
      </c>
      <c r="L126" s="49">
        <f>K126/K$12</f>
        <v>0.01</v>
      </c>
      <c r="M126" s="62">
        <f>M16*1%</f>
        <v>496.42178447212007</v>
      </c>
      <c r="N126" s="49">
        <f>M126/M$12</f>
        <v>0.01</v>
      </c>
      <c r="O126" s="62">
        <f>O16*1%</f>
        <v>314.28985464983498</v>
      </c>
      <c r="P126" s="49">
        <f>O126/O$12</f>
        <v>0.01</v>
      </c>
      <c r="Q126" s="62">
        <f>Q16*1%</f>
        <v>390.26598207706002</v>
      </c>
      <c r="R126" s="49">
        <f>Q126/Q$12</f>
        <v>0.01</v>
      </c>
      <c r="S126" s="62">
        <f>S16*1%</f>
        <v>393.14586238737002</v>
      </c>
      <c r="T126" s="49">
        <f>S126/S$12</f>
        <v>0.01</v>
      </c>
      <c r="U126" s="62">
        <f>U16*1%</f>
        <v>311.84586499954099</v>
      </c>
      <c r="V126" s="49">
        <f>U126/U$12</f>
        <v>0.01</v>
      </c>
      <c r="W126" s="62">
        <f>W16*1%</f>
        <v>317.28493379722903</v>
      </c>
      <c r="X126" s="49">
        <f>W126/W$12</f>
        <v>0.01</v>
      </c>
      <c r="Y126" s="62">
        <f>Y16*1%</f>
        <v>479.31076295599502</v>
      </c>
      <c r="Z126" s="49">
        <f>Y126/Y$12</f>
        <v>0.01</v>
      </c>
      <c r="AA126" s="105">
        <f t="shared" si="134"/>
        <v>4466.1788159064381</v>
      </c>
      <c r="AB126" s="108">
        <f t="shared" si="101"/>
        <v>0.01</v>
      </c>
      <c r="AC126" s="89">
        <f t="shared" si="135"/>
        <v>372.18156799220316</v>
      </c>
      <c r="AD126" s="92">
        <f t="shared" si="103"/>
        <v>9.9999999999999985E-3</v>
      </c>
      <c r="AE126" s="309">
        <v>0.32500000000000001</v>
      </c>
      <c r="AF126" s="309"/>
      <c r="AG126" s="64">
        <v>107</v>
      </c>
      <c r="AH126" s="289" t="s">
        <v>223</v>
      </c>
      <c r="AI126" s="271"/>
      <c r="AJ126" s="274"/>
      <c r="AK126" s="263">
        <f t="shared" si="136"/>
        <v>22732.850172963768</v>
      </c>
      <c r="AM126" s="64">
        <f t="shared" si="85"/>
        <v>4466.1788159064381</v>
      </c>
      <c r="AN126" s="64">
        <f t="shared" si="86"/>
        <v>0</v>
      </c>
      <c r="AO126" s="64">
        <f t="shared" si="87"/>
        <v>1986.4538487722355</v>
      </c>
    </row>
    <row r="127" spans="1:41" s="1" customFormat="1">
      <c r="A127" s="2">
        <v>6414</v>
      </c>
      <c r="B127" s="147" t="s">
        <v>43</v>
      </c>
      <c r="C127" s="62"/>
      <c r="D127" s="49">
        <f>C127/C$12</f>
        <v>0</v>
      </c>
      <c r="E127" s="62"/>
      <c r="F127" s="49">
        <f>E127/E$12</f>
        <v>0</v>
      </c>
      <c r="G127" s="62"/>
      <c r="H127" s="49">
        <f>G127/G$12</f>
        <v>0</v>
      </c>
      <c r="I127" s="62"/>
      <c r="J127" s="49">
        <f>I127/I$12</f>
        <v>0</v>
      </c>
      <c r="K127" s="62"/>
      <c r="L127" s="49">
        <f>K127/K$12</f>
        <v>0</v>
      </c>
      <c r="M127" s="62"/>
      <c r="N127" s="49">
        <f>M127/M$12</f>
        <v>0</v>
      </c>
      <c r="O127" s="62"/>
      <c r="P127" s="49">
        <f>O127/O$12</f>
        <v>0</v>
      </c>
      <c r="Q127" s="62"/>
      <c r="R127" s="49">
        <f>Q127/Q$12</f>
        <v>0</v>
      </c>
      <c r="S127" s="62"/>
      <c r="T127" s="49">
        <f>S127/S$12</f>
        <v>0</v>
      </c>
      <c r="U127" s="62"/>
      <c r="V127" s="49">
        <f>U127/U$12</f>
        <v>0</v>
      </c>
      <c r="W127" s="62"/>
      <c r="X127" s="49">
        <f>W127/W$12</f>
        <v>0</v>
      </c>
      <c r="Y127" s="62"/>
      <c r="Z127" s="49">
        <f>Y127/Y$12</f>
        <v>0</v>
      </c>
      <c r="AA127" s="105">
        <f t="shared" si="134"/>
        <v>0</v>
      </c>
      <c r="AB127" s="108">
        <f t="shared" si="101"/>
        <v>0</v>
      </c>
      <c r="AC127" s="89">
        <f t="shared" si="135"/>
        <v>0</v>
      </c>
      <c r="AD127" s="92">
        <f t="shared" si="103"/>
        <v>0</v>
      </c>
      <c r="AE127" s="309"/>
      <c r="AF127" s="309"/>
      <c r="AG127" s="64"/>
      <c r="AI127" s="271"/>
      <c r="AJ127" s="291"/>
      <c r="AK127" s="263">
        <f t="shared" si="136"/>
        <v>0</v>
      </c>
      <c r="AM127" s="64">
        <f t="shared" si="85"/>
        <v>0</v>
      </c>
      <c r="AN127" s="64">
        <f t="shared" si="86"/>
        <v>0</v>
      </c>
      <c r="AO127" s="64">
        <f t="shared" si="87"/>
        <v>0</v>
      </c>
    </row>
    <row r="128" spans="1:41" s="1" customFormat="1">
      <c r="A128" s="2">
        <v>6415</v>
      </c>
      <c r="B128" s="147" t="s">
        <v>44</v>
      </c>
      <c r="C128" s="62"/>
      <c r="D128" s="49">
        <f>C128/C$12</f>
        <v>0</v>
      </c>
      <c r="E128" s="62"/>
      <c r="F128" s="49">
        <f>E128/E$12</f>
        <v>0</v>
      </c>
      <c r="G128" s="62"/>
      <c r="H128" s="49">
        <f>G128/G$12</f>
        <v>0</v>
      </c>
      <c r="I128" s="62"/>
      <c r="J128" s="49">
        <f>I128/I$12</f>
        <v>0</v>
      </c>
      <c r="K128" s="62"/>
      <c r="L128" s="49">
        <f>K128/K$12</f>
        <v>0</v>
      </c>
      <c r="M128" s="62"/>
      <c r="N128" s="49">
        <f>M128/M$12</f>
        <v>0</v>
      </c>
      <c r="O128" s="62"/>
      <c r="P128" s="49">
        <f>O128/O$12</f>
        <v>0</v>
      </c>
      <c r="Q128" s="62"/>
      <c r="R128" s="49">
        <f>Q128/Q$12</f>
        <v>0</v>
      </c>
      <c r="S128" s="62"/>
      <c r="T128" s="49">
        <f>S128/S$12</f>
        <v>0</v>
      </c>
      <c r="U128" s="62"/>
      <c r="V128" s="49">
        <f>U128/U$12</f>
        <v>0</v>
      </c>
      <c r="W128" s="62"/>
      <c r="X128" s="49">
        <f>W128/W$12</f>
        <v>0</v>
      </c>
      <c r="Y128" s="62"/>
      <c r="Z128" s="49">
        <f>Y128/Y$12</f>
        <v>0</v>
      </c>
      <c r="AA128" s="105">
        <f t="shared" si="134"/>
        <v>0</v>
      </c>
      <c r="AB128" s="108">
        <f t="shared" si="101"/>
        <v>0</v>
      </c>
      <c r="AC128" s="89">
        <f t="shared" si="135"/>
        <v>0</v>
      </c>
      <c r="AD128" s="92">
        <f t="shared" si="103"/>
        <v>0</v>
      </c>
      <c r="AE128" s="309"/>
      <c r="AF128" s="309"/>
      <c r="AG128" s="64"/>
      <c r="AI128" s="271"/>
      <c r="AJ128" s="276"/>
      <c r="AK128" s="263">
        <f t="shared" si="136"/>
        <v>0</v>
      </c>
      <c r="AM128" s="64">
        <f t="shared" si="85"/>
        <v>0</v>
      </c>
      <c r="AN128" s="64">
        <f t="shared" si="86"/>
        <v>0</v>
      </c>
      <c r="AO128" s="64">
        <f t="shared" si="87"/>
        <v>0</v>
      </c>
    </row>
    <row r="129" spans="1:41" s="1" customFormat="1" ht="15.75" thickBot="1">
      <c r="A129" s="4">
        <v>6499</v>
      </c>
      <c r="B129" s="4" t="s">
        <v>116</v>
      </c>
      <c r="C129" s="56">
        <f>SUM(C116:C128)</f>
        <v>835.91000000000008</v>
      </c>
      <c r="D129" s="71">
        <f>C129/C12</f>
        <v>2.4884939418296569E-2</v>
      </c>
      <c r="E129" s="56">
        <f>SUM(E116:E128)</f>
        <v>761.33688574170401</v>
      </c>
      <c r="F129" s="71">
        <f>E129/E12</f>
        <v>2.9132392986965568E-2</v>
      </c>
      <c r="G129" s="56">
        <f>SUM(G116:G128)</f>
        <v>933.49977000000001</v>
      </c>
      <c r="H129" s="71">
        <f>G129/G12</f>
        <v>2.1534031494411174E-2</v>
      </c>
      <c r="I129" s="56">
        <f>SUM(I116:I128)</f>
        <v>882.77781192558405</v>
      </c>
      <c r="J129" s="71">
        <f>I129/I12</f>
        <v>2.3062408123520107E-2</v>
      </c>
      <c r="K129" s="22">
        <f>SUM(K116:K128)</f>
        <v>850.08930289999989</v>
      </c>
      <c r="L129" s="71">
        <f>K129/K12</f>
        <v>2.4282070199180598E-2</v>
      </c>
      <c r="M129" s="22">
        <f>SUM(M116:M128)</f>
        <v>996.42178447212007</v>
      </c>
      <c r="N129" s="71">
        <f>M129/M12</f>
        <v>2.0072080147161248E-2</v>
      </c>
      <c r="O129" s="22">
        <f>SUM(O116:O128)</f>
        <v>814.28985464983498</v>
      </c>
      <c r="P129" s="71">
        <f>O129/O12</f>
        <v>2.5908881327304484E-2</v>
      </c>
      <c r="Q129" s="56">
        <f>SUM(Q116:Q128)</f>
        <v>890.26598207706002</v>
      </c>
      <c r="R129" s="71">
        <f>Q129/Q12</f>
        <v>2.281177512164697E-2</v>
      </c>
      <c r="S129" s="38">
        <f>SUM(S116:S128)</f>
        <v>893.14586238737002</v>
      </c>
      <c r="T129" s="71">
        <f t="shared" si="96"/>
        <v>2.2717926038029766E-2</v>
      </c>
      <c r="U129" s="56">
        <f>SUM(U116:U128)</f>
        <v>811.84586499954094</v>
      </c>
      <c r="V129" s="71">
        <f>U129/U12</f>
        <v>2.6033561965002675E-2</v>
      </c>
      <c r="W129" s="38">
        <f>SUM(W116:W128)</f>
        <v>817.28493379722909</v>
      </c>
      <c r="X129" s="71">
        <f>W129/W12</f>
        <v>2.5758706031706533E-2</v>
      </c>
      <c r="Y129" s="38">
        <f>SUM(Y116:Y128)</f>
        <v>979.31076295599496</v>
      </c>
      <c r="Z129" s="71">
        <f t="shared" si="99"/>
        <v>2.0431645576168802E-2</v>
      </c>
      <c r="AA129" s="109">
        <f>SUM(AA116:AA128)</f>
        <v>10466.178815906438</v>
      </c>
      <c r="AB129" s="110">
        <f t="shared" si="101"/>
        <v>2.3434303119773906E-2</v>
      </c>
      <c r="AC129" s="93">
        <f>SUM(AC116:AC128)</f>
        <v>872.1815679922031</v>
      </c>
      <c r="AD129" s="94">
        <f t="shared" si="103"/>
        <v>2.3434303119773906E-2</v>
      </c>
      <c r="AE129" s="310"/>
      <c r="AF129" s="310"/>
      <c r="AG129" s="64"/>
      <c r="AI129" s="271"/>
      <c r="AJ129" s="276"/>
      <c r="AK129" s="263">
        <f t="shared" si="136"/>
        <v>53272.850172963765</v>
      </c>
      <c r="AM129" s="64">
        <f t="shared" si="85"/>
        <v>10466.178815906438</v>
      </c>
      <c r="AN129" s="64">
        <f t="shared" si="86"/>
        <v>0</v>
      </c>
      <c r="AO129" s="64">
        <f t="shared" si="87"/>
        <v>4531.4538487722357</v>
      </c>
    </row>
    <row r="130" spans="1:41" s="1" customFormat="1" ht="15.75" thickTop="1">
      <c r="A130" s="139"/>
      <c r="B130" s="139"/>
      <c r="C130" s="62"/>
      <c r="D130" s="82"/>
      <c r="E130" s="62"/>
      <c r="F130" s="82"/>
      <c r="G130" s="62"/>
      <c r="H130" s="82"/>
      <c r="I130" s="62"/>
      <c r="J130" s="82"/>
      <c r="K130" s="26"/>
      <c r="L130" s="82"/>
      <c r="M130" s="26"/>
      <c r="N130" s="82"/>
      <c r="O130" s="26"/>
      <c r="P130" s="82"/>
      <c r="Q130" s="62"/>
      <c r="R130" s="82"/>
      <c r="S130" s="45"/>
      <c r="T130" s="82"/>
      <c r="U130" s="45"/>
      <c r="V130" s="82"/>
      <c r="W130" s="45"/>
      <c r="X130" s="82"/>
      <c r="Y130" s="45"/>
      <c r="Z130" s="82"/>
      <c r="AA130" s="116"/>
      <c r="AB130" s="118"/>
      <c r="AC130" s="100"/>
      <c r="AD130" s="121"/>
      <c r="AE130" s="310"/>
      <c r="AF130" s="310"/>
      <c r="AG130" s="64"/>
      <c r="AI130" s="271"/>
      <c r="AJ130" s="274"/>
      <c r="AK130" s="263">
        <f t="shared" si="136"/>
        <v>0</v>
      </c>
      <c r="AM130" s="64">
        <f t="shared" si="85"/>
        <v>0</v>
      </c>
      <c r="AN130" s="64">
        <f t="shared" si="86"/>
        <v>0</v>
      </c>
      <c r="AO130" s="64">
        <f t="shared" si="87"/>
        <v>0</v>
      </c>
    </row>
    <row r="131" spans="1:41" s="1" customFormat="1" ht="15.75" thickBot="1">
      <c r="A131" s="4"/>
      <c r="B131" s="4" t="s">
        <v>124</v>
      </c>
      <c r="C131" s="177">
        <f>C37-C41-C76-C93-C115-C129</f>
        <v>3181.6727155690651</v>
      </c>
      <c r="D131" s="162">
        <f>C131/C12</f>
        <v>9.4718011240185321E-2</v>
      </c>
      <c r="E131" s="177">
        <f>E37-E41-E76-E93-E115-E129</f>
        <v>1281.6110715601094</v>
      </c>
      <c r="F131" s="162">
        <f>E131/E12</f>
        <v>4.9040573355068125E-2</v>
      </c>
      <c r="G131" s="177">
        <f>G37-G41-G76-G93-G115-G129</f>
        <v>2597.3768551912522</v>
      </c>
      <c r="H131" s="162">
        <f>G131/G12</f>
        <v>5.9916452901261109E-2</v>
      </c>
      <c r="I131" s="177">
        <f>I37-I41-I76-I93-I115-I129</f>
        <v>5303.5487793193461</v>
      </c>
      <c r="J131" s="162">
        <f>I131/I12</f>
        <v>0.13855423731693234</v>
      </c>
      <c r="K131" s="186">
        <f>K37-K41-K76-K93-K115-K129</f>
        <v>6865.5410388016298</v>
      </c>
      <c r="L131" s="162">
        <f>K131/K12</f>
        <v>0.19610827814304035</v>
      </c>
      <c r="M131" s="186">
        <f>M37-M41-M76-M93-M115-M129</f>
        <v>5299.4015069272364</v>
      </c>
      <c r="N131" s="162">
        <f>M131/M12</f>
        <v>0.10675199341951642</v>
      </c>
      <c r="O131" s="186">
        <f>O37-O41-O76-O93-O115-O129</f>
        <v>-3625.2294478599138</v>
      </c>
      <c r="P131" s="162">
        <f>O131/O12</f>
        <v>-0.11534669014050586</v>
      </c>
      <c r="Q131" s="177">
        <f>Q37-Q41-Q76-Q93-Q115-Q129</f>
        <v>2859.4872419020717</v>
      </c>
      <c r="R131" s="197">
        <f>Q131/Q12</f>
        <v>7.3270215012935749E-2</v>
      </c>
      <c r="S131" s="142">
        <f>S37-S41-S76-S93-S115-S129</f>
        <v>-535.36483874847033</v>
      </c>
      <c r="T131" s="206">
        <f>S131/S12</f>
        <v>-1.3617460845129556E-2</v>
      </c>
      <c r="U131" s="142">
        <f>U37-U41-U76-U93-U115-U129</f>
        <v>54.681241637919129</v>
      </c>
      <c r="V131" s="206">
        <f>U131/U12</f>
        <v>1.7534701522497215E-3</v>
      </c>
      <c r="W131" s="262">
        <f>W37-W41-W76-W93-W115-W129</f>
        <v>7667.8463735116802</v>
      </c>
      <c r="X131" s="206">
        <f>W131/W12</f>
        <v>0.24167067379291512</v>
      </c>
      <c r="Y131" s="262">
        <f>Y37-Y41-Y76-Y93-Y115-Y129</f>
        <v>8338.9566924943811</v>
      </c>
      <c r="Z131" s="206">
        <f>Y131/Y12</f>
        <v>0.17397808138224452</v>
      </c>
      <c r="AA131" s="142">
        <f>AA37-AA41-AA76-AA93-AA115-AA129</f>
        <v>39289.529230306332</v>
      </c>
      <c r="AB131" s="206">
        <f>AA131/AA12</f>
        <v>8.7971240852192087E-2</v>
      </c>
      <c r="AC131" s="261">
        <f>AC37-AC41-AC76-AC93-AC115-AC129</f>
        <v>3274.1274358588626</v>
      </c>
      <c r="AD131" s="206">
        <f>AC131/AC12</f>
        <v>8.7971240852192115E-2</v>
      </c>
      <c r="AE131" s="312"/>
      <c r="AF131" s="312"/>
      <c r="AG131" s="64"/>
      <c r="AI131" s="272"/>
      <c r="AJ131" s="276"/>
      <c r="AK131" s="263">
        <f t="shared" si="136"/>
        <v>199983.70378225908</v>
      </c>
      <c r="AM131" s="64">
        <f t="shared" si="85"/>
        <v>39289.529230306303</v>
      </c>
      <c r="AN131" s="64">
        <f t="shared" si="86"/>
        <v>0</v>
      </c>
      <c r="AO131" s="64">
        <f t="shared" si="87"/>
        <v>14554.790061281545</v>
      </c>
    </row>
    <row r="132" spans="1:41" s="1" customFormat="1" ht="15.75" thickTop="1">
      <c r="A132" s="139"/>
      <c r="B132" s="139"/>
      <c r="C132" s="62"/>
      <c r="D132" s="82"/>
      <c r="E132" s="62"/>
      <c r="F132" s="82"/>
      <c r="G132" s="62"/>
      <c r="H132" s="82"/>
      <c r="I132" s="62"/>
      <c r="J132" s="82"/>
      <c r="K132" s="26"/>
      <c r="L132" s="82"/>
      <c r="M132" s="26"/>
      <c r="N132" s="82"/>
      <c r="O132" s="26"/>
      <c r="P132" s="82"/>
      <c r="Q132" s="62"/>
      <c r="R132" s="82"/>
      <c r="S132" s="45"/>
      <c r="T132" s="82"/>
      <c r="U132" s="45"/>
      <c r="V132" s="82"/>
      <c r="W132" s="45"/>
      <c r="X132" s="82"/>
      <c r="Y132" s="45"/>
      <c r="Z132" s="82"/>
      <c r="AA132" s="116"/>
      <c r="AB132" s="118"/>
      <c r="AC132" s="100"/>
      <c r="AD132" s="121"/>
      <c r="AE132" s="310"/>
      <c r="AF132" s="310"/>
      <c r="AG132" s="64"/>
      <c r="AI132" s="292"/>
      <c r="AJ132" s="274"/>
      <c r="AK132" s="263">
        <f t="shared" si="136"/>
        <v>0</v>
      </c>
      <c r="AM132" s="64">
        <f t="shared" si="85"/>
        <v>0</v>
      </c>
      <c r="AN132" s="64">
        <f t="shared" si="86"/>
        <v>0</v>
      </c>
      <c r="AO132" s="64">
        <f t="shared" si="87"/>
        <v>0</v>
      </c>
    </row>
    <row r="133" spans="1:41" s="1" customFormat="1" ht="15.75" thickBot="1">
      <c r="A133" s="4"/>
      <c r="B133" s="4" t="s">
        <v>140</v>
      </c>
      <c r="C133" s="56"/>
      <c r="D133" s="81"/>
      <c r="E133" s="56"/>
      <c r="F133" s="81"/>
      <c r="G133" s="56"/>
      <c r="H133" s="81"/>
      <c r="I133" s="56"/>
      <c r="J133" s="81"/>
      <c r="K133" s="22"/>
      <c r="L133" s="81"/>
      <c r="M133" s="22"/>
      <c r="N133" s="81"/>
      <c r="O133" s="22"/>
      <c r="P133" s="81"/>
      <c r="Q133" s="169"/>
      <c r="R133" s="81"/>
      <c r="S133" s="22"/>
      <c r="T133" s="81"/>
      <c r="U133" s="22"/>
      <c r="V133" s="81"/>
      <c r="W133" s="22"/>
      <c r="X133" s="81"/>
      <c r="Y133" s="22"/>
      <c r="Z133" s="81"/>
      <c r="AA133" s="38">
        <f>C133+E133+G133+I133+K133+M133+O133+Q133+S133+U133+W133+Y133</f>
        <v>0</v>
      </c>
      <c r="AB133" s="71">
        <f>AA133/AA$12</f>
        <v>0</v>
      </c>
      <c r="AC133" s="38">
        <f>AA133/12</f>
        <v>0</v>
      </c>
      <c r="AD133" s="71">
        <f>AC133/AC$12</f>
        <v>0</v>
      </c>
      <c r="AE133" s="313"/>
      <c r="AF133" s="313"/>
      <c r="AG133" s="64"/>
      <c r="AI133" s="271"/>
      <c r="AJ133" s="274"/>
      <c r="AK133" s="263">
        <f t="shared" si="136"/>
        <v>0</v>
      </c>
      <c r="AM133" s="64">
        <f t="shared" si="85"/>
        <v>0</v>
      </c>
      <c r="AN133" s="64">
        <f t="shared" si="86"/>
        <v>0</v>
      </c>
      <c r="AO133" s="64">
        <f t="shared" si="87"/>
        <v>0</v>
      </c>
    </row>
    <row r="134" spans="1:41" s="1" customFormat="1" ht="15.75" thickTop="1">
      <c r="A134" s="139"/>
      <c r="B134" s="139"/>
      <c r="C134" s="62"/>
      <c r="D134" s="82"/>
      <c r="E134" s="62"/>
      <c r="F134" s="82"/>
      <c r="G134" s="62"/>
      <c r="H134" s="82"/>
      <c r="I134" s="62"/>
      <c r="J134" s="82"/>
      <c r="K134" s="26"/>
      <c r="L134" s="82"/>
      <c r="M134" s="26"/>
      <c r="N134" s="82"/>
      <c r="O134" s="26"/>
      <c r="P134" s="82"/>
      <c r="Q134" s="62"/>
      <c r="R134" s="82"/>
      <c r="S134" s="45"/>
      <c r="T134" s="82"/>
      <c r="U134" s="45"/>
      <c r="V134" s="82"/>
      <c r="W134" s="45"/>
      <c r="X134" s="82"/>
      <c r="Y134" s="45"/>
      <c r="Z134" s="82"/>
      <c r="AA134" s="116"/>
      <c r="AB134" s="118"/>
      <c r="AC134" s="100"/>
      <c r="AD134" s="121"/>
      <c r="AE134" s="310"/>
      <c r="AF134" s="310"/>
      <c r="AG134" s="64"/>
      <c r="AI134" s="271"/>
      <c r="AJ134" s="274"/>
      <c r="AK134" s="263">
        <f t="shared" si="136"/>
        <v>0</v>
      </c>
      <c r="AM134" s="64">
        <f t="shared" si="85"/>
        <v>0</v>
      </c>
      <c r="AN134" s="64">
        <f t="shared" si="86"/>
        <v>0</v>
      </c>
      <c r="AO134" s="64">
        <f t="shared" si="87"/>
        <v>0</v>
      </c>
    </row>
    <row r="135" spans="1:41" s="1" customFormat="1" ht="15.75" thickBot="1">
      <c r="A135" s="4"/>
      <c r="B135" s="4" t="s">
        <v>131</v>
      </c>
      <c r="C135" s="56">
        <f>C131-C133</f>
        <v>3181.6727155690651</v>
      </c>
      <c r="D135" s="71">
        <f>C135/C12</f>
        <v>9.4718011240185321E-2</v>
      </c>
      <c r="E135" s="56">
        <f>E131-E133</f>
        <v>1281.6110715601094</v>
      </c>
      <c r="F135" s="71">
        <f>E135/E12</f>
        <v>4.9040573355068125E-2</v>
      </c>
      <c r="G135" s="56">
        <f>G131-G133</f>
        <v>2597.3768551912522</v>
      </c>
      <c r="H135" s="71">
        <f>G135/G12</f>
        <v>5.9916452901261109E-2</v>
      </c>
      <c r="I135" s="56">
        <f>I131-I133</f>
        <v>5303.5487793193461</v>
      </c>
      <c r="J135" s="71">
        <f>I135/I12</f>
        <v>0.13855423731693234</v>
      </c>
      <c r="K135" s="22">
        <f>K131-K133</f>
        <v>6865.5410388016298</v>
      </c>
      <c r="L135" s="71">
        <f>K135/K12</f>
        <v>0.19610827814304035</v>
      </c>
      <c r="M135" s="22">
        <f>M131-M133</f>
        <v>5299.4015069272364</v>
      </c>
      <c r="N135" s="71">
        <f>M135/M12</f>
        <v>0.10675199341951642</v>
      </c>
      <c r="O135" s="22">
        <f>O131-O133</f>
        <v>-3625.2294478599138</v>
      </c>
      <c r="P135" s="71">
        <f>O135/O12</f>
        <v>-0.11534669014050586</v>
      </c>
      <c r="Q135" s="56">
        <f>Q131-Q133</f>
        <v>2859.4872419020717</v>
      </c>
      <c r="R135" s="71">
        <f>Q135/Q12</f>
        <v>7.3270215012935749E-2</v>
      </c>
      <c r="S135" s="38">
        <f>S131-S133</f>
        <v>-535.36483874847033</v>
      </c>
      <c r="T135" s="71">
        <f>S135/S12</f>
        <v>-1.3617460845129556E-2</v>
      </c>
      <c r="U135" s="38">
        <f>U131-U133</f>
        <v>54.681241637919129</v>
      </c>
      <c r="V135" s="71">
        <f>U135/U12</f>
        <v>1.7534701522497215E-3</v>
      </c>
      <c r="W135" s="38">
        <f>W131-W133</f>
        <v>7667.8463735116802</v>
      </c>
      <c r="X135" s="71">
        <f>W135/W12</f>
        <v>0.24167067379291512</v>
      </c>
      <c r="Y135" s="38">
        <f>Y131-Y133</f>
        <v>8338.9566924943811</v>
      </c>
      <c r="Z135" s="71">
        <f>Y135/Y12</f>
        <v>0.17397808138224452</v>
      </c>
      <c r="AA135" s="38">
        <f>AA131-AA133</f>
        <v>39289.529230306332</v>
      </c>
      <c r="AB135" s="71">
        <f>AA135/AA12</f>
        <v>8.7971240852192087E-2</v>
      </c>
      <c r="AC135" s="38">
        <f>AC131-AC133</f>
        <v>3274.1274358588626</v>
      </c>
      <c r="AD135" s="71">
        <f>AC135/AC12</f>
        <v>8.7971240852192115E-2</v>
      </c>
      <c r="AE135" s="313"/>
      <c r="AF135" s="313"/>
      <c r="AG135" s="64"/>
      <c r="AI135" s="271"/>
      <c r="AJ135" s="274"/>
      <c r="AK135" s="263">
        <f t="shared" si="136"/>
        <v>199983.70378225908</v>
      </c>
      <c r="AM135" s="64">
        <f t="shared" si="85"/>
        <v>39289.529230306303</v>
      </c>
      <c r="AN135" s="64">
        <f t="shared" si="86"/>
        <v>0</v>
      </c>
      <c r="AO135" s="64">
        <f t="shared" si="87"/>
        <v>14554.790061281545</v>
      </c>
    </row>
    <row r="136" spans="1:41" s="1" customFormat="1" ht="15.75" thickTop="1">
      <c r="A136" s="20">
        <v>6501</v>
      </c>
      <c r="B136" s="147"/>
      <c r="C136" s="62"/>
      <c r="D136" s="49">
        <f t="shared" ref="D136:D143" si="137">C136/C$12</f>
        <v>0</v>
      </c>
      <c r="E136" s="62"/>
      <c r="F136" s="49">
        <f t="shared" ref="F136:F143" si="138">E136/E$12</f>
        <v>0</v>
      </c>
      <c r="G136" s="62"/>
      <c r="H136" s="49">
        <f t="shared" ref="H136:H143" si="139">G136/G$12</f>
        <v>0</v>
      </c>
      <c r="I136" s="62"/>
      <c r="J136" s="49">
        <f t="shared" ref="J136:J143" si="140">I136/I$12</f>
        <v>0</v>
      </c>
      <c r="K136" s="26"/>
      <c r="L136" s="49">
        <f t="shared" ref="L136:L143" si="141">K136/K$12</f>
        <v>0</v>
      </c>
      <c r="M136" s="26"/>
      <c r="N136" s="49">
        <f t="shared" ref="N136:N143" si="142">M136/M$12</f>
        <v>0</v>
      </c>
      <c r="O136" s="26"/>
      <c r="P136" s="49">
        <f t="shared" ref="P136:P143" si="143">O136/O$12</f>
        <v>0</v>
      </c>
      <c r="Q136" s="62"/>
      <c r="R136" s="49">
        <f t="shared" ref="R136:R143" si="144">Q136/Q$12</f>
        <v>0</v>
      </c>
      <c r="S136" s="45"/>
      <c r="T136" s="49">
        <f t="shared" ref="T136:T146" si="145">S136/S$12</f>
        <v>0</v>
      </c>
      <c r="U136" s="45"/>
      <c r="V136" s="49">
        <f t="shared" ref="V136:V143" si="146">U136/U$12</f>
        <v>0</v>
      </c>
      <c r="W136" s="45"/>
      <c r="X136" s="49">
        <f t="shared" ref="X136:X143" si="147">W136/W$12</f>
        <v>0</v>
      </c>
      <c r="Y136" s="45"/>
      <c r="Z136" s="49">
        <f t="shared" ref="Z136:Z146" si="148">Y136/Y$12</f>
        <v>0</v>
      </c>
      <c r="AA136" s="105">
        <f t="shared" ref="AA136:AA143" si="149">C136+E136+G136+I136+K136+M136+O136+Q136+S136+U136+W136+Y136</f>
        <v>0</v>
      </c>
      <c r="AB136" s="108">
        <f t="shared" ref="AB136:AB146" si="150">AA136/AA$12</f>
        <v>0</v>
      </c>
      <c r="AC136" s="89">
        <f t="shared" ref="AC136:AC143" si="151">AA136/12</f>
        <v>0</v>
      </c>
      <c r="AD136" s="92">
        <f t="shared" ref="AD136:AD146" si="152">AC136/AC$12</f>
        <v>0</v>
      </c>
      <c r="AE136" s="309"/>
      <c r="AF136" s="309"/>
      <c r="AG136" s="64"/>
      <c r="AI136" s="271"/>
      <c r="AJ136" s="274"/>
      <c r="AK136" s="263">
        <f t="shared" si="136"/>
        <v>0</v>
      </c>
      <c r="AM136" s="64">
        <f t="shared" si="85"/>
        <v>0</v>
      </c>
      <c r="AN136" s="64">
        <f t="shared" si="86"/>
        <v>0</v>
      </c>
      <c r="AO136" s="64">
        <f t="shared" si="87"/>
        <v>0</v>
      </c>
    </row>
    <row r="137" spans="1:41" s="1" customFormat="1">
      <c r="A137" s="2">
        <v>6502</v>
      </c>
      <c r="B137" s="147" t="s">
        <v>127</v>
      </c>
      <c r="C137" s="63">
        <v>1506.11</v>
      </c>
      <c r="D137" s="49">
        <f t="shared" si="137"/>
        <v>4.4836712214581284E-2</v>
      </c>
      <c r="E137" s="63">
        <v>1469.09</v>
      </c>
      <c r="F137" s="49">
        <f t="shared" si="138"/>
        <v>5.621441442644249E-2</v>
      </c>
      <c r="G137" s="302">
        <v>1543.11</v>
      </c>
      <c r="H137" s="49">
        <f t="shared" si="139"/>
        <v>3.5596558678681653E-2</v>
      </c>
      <c r="I137" s="63">
        <v>1506.11</v>
      </c>
      <c r="J137" s="49">
        <f t="shared" si="140"/>
        <v>3.9346846997829733E-2</v>
      </c>
      <c r="K137" s="63">
        <v>1506.11</v>
      </c>
      <c r="L137" s="49">
        <f t="shared" si="141"/>
        <v>4.3020737495375785E-2</v>
      </c>
      <c r="M137" s="63">
        <v>1506.09</v>
      </c>
      <c r="N137" s="49">
        <f t="shared" si="142"/>
        <v>3.0338918377676164E-2</v>
      </c>
      <c r="O137" s="63">
        <v>1506.11</v>
      </c>
      <c r="P137" s="49">
        <f t="shared" si="143"/>
        <v>4.7921050511733114E-2</v>
      </c>
      <c r="Q137" s="63">
        <v>1506.11</v>
      </c>
      <c r="R137" s="49">
        <f t="shared" si="144"/>
        <v>3.859188525692743E-2</v>
      </c>
      <c r="S137" s="63">
        <v>1506.11</v>
      </c>
      <c r="T137" s="49">
        <f t="shared" si="145"/>
        <v>3.8309191170274016E-2</v>
      </c>
      <c r="U137" s="63">
        <v>1506.11</v>
      </c>
      <c r="V137" s="49">
        <f t="shared" si="146"/>
        <v>4.8296616022220358E-2</v>
      </c>
      <c r="W137" s="63">
        <v>1506.11</v>
      </c>
      <c r="X137" s="49">
        <f t="shared" si="147"/>
        <v>4.7468689482827037E-2</v>
      </c>
      <c r="Y137" s="63">
        <v>1506.11</v>
      </c>
      <c r="Z137" s="49">
        <f t="shared" si="148"/>
        <v>3.1422411437447194E-2</v>
      </c>
      <c r="AA137" s="105">
        <f t="shared" si="149"/>
        <v>18073.280000000002</v>
      </c>
      <c r="AB137" s="108">
        <f t="shared" si="150"/>
        <v>4.0466986981424563E-2</v>
      </c>
      <c r="AC137" s="89">
        <f t="shared" si="151"/>
        <v>1506.1066666666668</v>
      </c>
      <c r="AD137" s="92">
        <f t="shared" si="152"/>
        <v>4.0466986981424563E-2</v>
      </c>
      <c r="AE137" s="309"/>
      <c r="AF137" s="309"/>
      <c r="AG137" s="64"/>
      <c r="AH137" s="1" t="s">
        <v>163</v>
      </c>
      <c r="AI137" s="271"/>
      <c r="AJ137" s="274"/>
      <c r="AK137" s="263">
        <f t="shared" si="136"/>
        <v>91992.995200000005</v>
      </c>
      <c r="AM137" s="64">
        <f t="shared" si="85"/>
        <v>18073.280000000002</v>
      </c>
      <c r="AN137" s="64">
        <f t="shared" si="86"/>
        <v>0</v>
      </c>
      <c r="AO137" s="64">
        <f t="shared" si="87"/>
        <v>7666.0998999999993</v>
      </c>
    </row>
    <row r="138" spans="1:41" s="1" customFormat="1">
      <c r="A138" s="2">
        <v>6503</v>
      </c>
      <c r="B138" s="147" t="s">
        <v>128</v>
      </c>
      <c r="C138" s="63"/>
      <c r="D138" s="49">
        <f t="shared" si="137"/>
        <v>0</v>
      </c>
      <c r="E138" s="63"/>
      <c r="F138" s="49">
        <f t="shared" si="138"/>
        <v>0</v>
      </c>
      <c r="G138" s="63"/>
      <c r="H138" s="49">
        <f t="shared" si="139"/>
        <v>0</v>
      </c>
      <c r="I138" s="63"/>
      <c r="J138" s="49">
        <f t="shared" si="140"/>
        <v>0</v>
      </c>
      <c r="K138" s="63"/>
      <c r="L138" s="49">
        <f t="shared" si="141"/>
        <v>0</v>
      </c>
      <c r="M138" s="63">
        <v>0</v>
      </c>
      <c r="N138" s="49">
        <f t="shared" si="142"/>
        <v>0</v>
      </c>
      <c r="O138" s="63"/>
      <c r="P138" s="49">
        <f t="shared" si="143"/>
        <v>0</v>
      </c>
      <c r="Q138" s="63"/>
      <c r="R138" s="49">
        <f t="shared" si="144"/>
        <v>0</v>
      </c>
      <c r="S138" s="63"/>
      <c r="T138" s="49">
        <f t="shared" si="145"/>
        <v>0</v>
      </c>
      <c r="U138" s="63"/>
      <c r="V138" s="49">
        <f t="shared" si="146"/>
        <v>0</v>
      </c>
      <c r="W138" s="63"/>
      <c r="X138" s="49">
        <f t="shared" si="147"/>
        <v>0</v>
      </c>
      <c r="Y138" s="63"/>
      <c r="Z138" s="49">
        <f t="shared" si="148"/>
        <v>0</v>
      </c>
      <c r="AA138" s="105">
        <f t="shared" si="149"/>
        <v>0</v>
      </c>
      <c r="AB138" s="108">
        <f t="shared" si="150"/>
        <v>0</v>
      </c>
      <c r="AC138" s="89">
        <f t="shared" si="151"/>
        <v>0</v>
      </c>
      <c r="AD138" s="92">
        <f t="shared" si="152"/>
        <v>0</v>
      </c>
      <c r="AE138" s="309"/>
      <c r="AF138" s="309"/>
      <c r="AG138" s="64"/>
      <c r="AI138" s="271"/>
      <c r="AJ138" s="274"/>
      <c r="AK138" s="263">
        <f t="shared" si="136"/>
        <v>0</v>
      </c>
      <c r="AM138" s="64">
        <f t="shared" si="85"/>
        <v>0</v>
      </c>
      <c r="AN138" s="64">
        <f t="shared" si="86"/>
        <v>0</v>
      </c>
      <c r="AO138" s="64">
        <f t="shared" si="87"/>
        <v>0</v>
      </c>
    </row>
    <row r="139" spans="1:41" s="1" customFormat="1">
      <c r="A139" s="2">
        <v>6504</v>
      </c>
      <c r="B139" s="147" t="s">
        <v>129</v>
      </c>
      <c r="C139" s="47"/>
      <c r="D139" s="49">
        <f t="shared" si="137"/>
        <v>0</v>
      </c>
      <c r="E139" s="47"/>
      <c r="F139" s="49">
        <f t="shared" si="138"/>
        <v>0</v>
      </c>
      <c r="G139" s="47"/>
      <c r="H139" s="49">
        <f t="shared" si="139"/>
        <v>0</v>
      </c>
      <c r="I139" s="47"/>
      <c r="J139" s="49">
        <f t="shared" si="140"/>
        <v>0</v>
      </c>
      <c r="K139" s="47"/>
      <c r="L139" s="49">
        <f t="shared" si="141"/>
        <v>0</v>
      </c>
      <c r="M139" s="47"/>
      <c r="N139" s="49">
        <f t="shared" si="142"/>
        <v>0</v>
      </c>
      <c r="O139" s="47"/>
      <c r="P139" s="49">
        <f t="shared" si="143"/>
        <v>0</v>
      </c>
      <c r="Q139" s="63"/>
      <c r="R139" s="49">
        <f t="shared" si="144"/>
        <v>0</v>
      </c>
      <c r="S139" s="47"/>
      <c r="T139" s="49">
        <f t="shared" si="145"/>
        <v>0</v>
      </c>
      <c r="U139" s="47"/>
      <c r="V139" s="49">
        <f t="shared" si="146"/>
        <v>0</v>
      </c>
      <c r="W139" s="47"/>
      <c r="X139" s="49">
        <f t="shared" si="147"/>
        <v>0</v>
      </c>
      <c r="Y139" s="47"/>
      <c r="Z139" s="49">
        <f t="shared" si="148"/>
        <v>0</v>
      </c>
      <c r="AA139" s="105">
        <f t="shared" si="149"/>
        <v>0</v>
      </c>
      <c r="AB139" s="108">
        <f t="shared" si="150"/>
        <v>0</v>
      </c>
      <c r="AC139" s="89">
        <f t="shared" si="151"/>
        <v>0</v>
      </c>
      <c r="AD139" s="92">
        <f t="shared" si="152"/>
        <v>0</v>
      </c>
      <c r="AE139" s="309"/>
      <c r="AF139" s="309"/>
      <c r="AG139" s="64"/>
      <c r="AI139" s="271"/>
      <c r="AJ139" s="274"/>
      <c r="AK139" s="263">
        <f t="shared" si="136"/>
        <v>0</v>
      </c>
      <c r="AM139" s="64">
        <f t="shared" si="85"/>
        <v>0</v>
      </c>
      <c r="AN139" s="64">
        <f t="shared" si="86"/>
        <v>0</v>
      </c>
      <c r="AO139" s="64">
        <f t="shared" si="87"/>
        <v>0</v>
      </c>
    </row>
    <row r="140" spans="1:41" s="1" customFormat="1">
      <c r="A140" s="2">
        <v>6505</v>
      </c>
      <c r="B140" s="2" t="s">
        <v>130</v>
      </c>
      <c r="C140" s="47"/>
      <c r="D140" s="49">
        <f t="shared" si="137"/>
        <v>0</v>
      </c>
      <c r="E140" s="47"/>
      <c r="F140" s="49">
        <f t="shared" si="138"/>
        <v>0</v>
      </c>
      <c r="G140" s="47"/>
      <c r="H140" s="49">
        <f t="shared" si="139"/>
        <v>0</v>
      </c>
      <c r="I140" s="47"/>
      <c r="J140" s="49">
        <f t="shared" si="140"/>
        <v>0</v>
      </c>
      <c r="K140" s="47"/>
      <c r="L140" s="49">
        <f t="shared" si="141"/>
        <v>0</v>
      </c>
      <c r="M140" s="47"/>
      <c r="N140" s="49">
        <f t="shared" si="142"/>
        <v>0</v>
      </c>
      <c r="O140" s="47"/>
      <c r="P140" s="49">
        <f t="shared" si="143"/>
        <v>0</v>
      </c>
      <c r="Q140" s="63"/>
      <c r="R140" s="49">
        <f t="shared" si="144"/>
        <v>0</v>
      </c>
      <c r="S140" s="47"/>
      <c r="T140" s="49">
        <f t="shared" si="145"/>
        <v>0</v>
      </c>
      <c r="U140" s="47"/>
      <c r="V140" s="49">
        <f t="shared" si="146"/>
        <v>0</v>
      </c>
      <c r="W140" s="47"/>
      <c r="X140" s="49">
        <f t="shared" si="147"/>
        <v>0</v>
      </c>
      <c r="Y140" s="47"/>
      <c r="Z140" s="49">
        <f t="shared" si="148"/>
        <v>0</v>
      </c>
      <c r="AA140" s="105">
        <f t="shared" si="149"/>
        <v>0</v>
      </c>
      <c r="AB140" s="108">
        <f t="shared" si="150"/>
        <v>0</v>
      </c>
      <c r="AC140" s="89">
        <f t="shared" si="151"/>
        <v>0</v>
      </c>
      <c r="AD140" s="92">
        <f t="shared" si="152"/>
        <v>0</v>
      </c>
      <c r="AE140" s="309"/>
      <c r="AF140" s="309"/>
      <c r="AG140" s="64"/>
      <c r="AI140" s="271"/>
      <c r="AJ140" s="274"/>
      <c r="AK140" s="263">
        <f t="shared" si="136"/>
        <v>0</v>
      </c>
      <c r="AM140" s="64">
        <f t="shared" si="85"/>
        <v>0</v>
      </c>
      <c r="AN140" s="64">
        <f t="shared" si="86"/>
        <v>0</v>
      </c>
      <c r="AO140" s="64">
        <f t="shared" si="87"/>
        <v>0</v>
      </c>
    </row>
    <row r="141" spans="1:41" s="1" customFormat="1">
      <c r="A141" s="2">
        <v>6506</v>
      </c>
      <c r="B141" s="2" t="s">
        <v>202</v>
      </c>
      <c r="C141" s="27">
        <v>0</v>
      </c>
      <c r="D141" s="278">
        <f>C141/C12</f>
        <v>0</v>
      </c>
      <c r="E141" s="27">
        <v>0</v>
      </c>
      <c r="F141" s="278">
        <f>E141/E12</f>
        <v>0</v>
      </c>
      <c r="G141" s="27">
        <v>0</v>
      </c>
      <c r="H141" s="278">
        <f>G141/G12</f>
        <v>0</v>
      </c>
      <c r="I141" s="27">
        <v>0</v>
      </c>
      <c r="J141" s="278">
        <f>I141/I12</f>
        <v>0</v>
      </c>
      <c r="K141" s="27">
        <v>0</v>
      </c>
      <c r="L141" s="278">
        <f>K141/K12</f>
        <v>0</v>
      </c>
      <c r="M141" s="27">
        <v>0</v>
      </c>
      <c r="N141" s="278">
        <f>M141/M12</f>
        <v>0</v>
      </c>
      <c r="O141" s="27">
        <v>0</v>
      </c>
      <c r="P141" s="278">
        <f>O141/O12</f>
        <v>0</v>
      </c>
      <c r="Q141" s="63">
        <v>0</v>
      </c>
      <c r="R141" s="278">
        <f>Q141/Q12</f>
        <v>0</v>
      </c>
      <c r="S141" s="27">
        <v>0</v>
      </c>
      <c r="T141" s="278">
        <f>S141/S12</f>
        <v>0</v>
      </c>
      <c r="U141" s="27">
        <v>0</v>
      </c>
      <c r="V141" s="278">
        <f>U141/U12</f>
        <v>0</v>
      </c>
      <c r="W141" s="27">
        <v>0</v>
      </c>
      <c r="X141" s="278">
        <f>W141/W12</f>
        <v>0</v>
      </c>
      <c r="Y141" s="27">
        <v>0</v>
      </c>
      <c r="Z141" s="278">
        <f>Y141/Y12</f>
        <v>0</v>
      </c>
      <c r="AA141" s="105">
        <f t="shared" si="149"/>
        <v>0</v>
      </c>
      <c r="AB141" s="108">
        <f t="shared" ref="AB141" si="153">AA141/AA$12</f>
        <v>0</v>
      </c>
      <c r="AC141" s="89">
        <f t="shared" ref="AC141" si="154">AA141/12</f>
        <v>0</v>
      </c>
      <c r="AD141" s="92">
        <f t="shared" ref="AD141" si="155">AC141/AC$12</f>
        <v>0</v>
      </c>
      <c r="AE141" s="309"/>
      <c r="AF141" s="309"/>
      <c r="AG141" s="64"/>
      <c r="AI141" s="271"/>
      <c r="AJ141" s="274"/>
      <c r="AL141" s="279"/>
      <c r="AM141" s="64">
        <f t="shared" si="85"/>
        <v>0</v>
      </c>
      <c r="AN141" s="64">
        <f t="shared" si="86"/>
        <v>0</v>
      </c>
      <c r="AO141" s="64">
        <f t="shared" si="87"/>
        <v>0</v>
      </c>
    </row>
    <row r="142" spans="1:41" s="1" customFormat="1">
      <c r="A142" s="2">
        <v>6604</v>
      </c>
      <c r="B142" s="2" t="s">
        <v>136</v>
      </c>
      <c r="C142" s="37"/>
      <c r="D142" s="49">
        <f t="shared" si="137"/>
        <v>0</v>
      </c>
      <c r="E142" s="37"/>
      <c r="F142" s="49">
        <f t="shared" si="138"/>
        <v>0</v>
      </c>
      <c r="G142" s="37"/>
      <c r="H142" s="49">
        <f t="shared" si="139"/>
        <v>0</v>
      </c>
      <c r="I142" s="37"/>
      <c r="J142" s="49">
        <f t="shared" si="140"/>
        <v>0</v>
      </c>
      <c r="K142" s="37"/>
      <c r="L142" s="49">
        <f t="shared" si="141"/>
        <v>0</v>
      </c>
      <c r="M142" s="37"/>
      <c r="N142" s="49">
        <f t="shared" si="142"/>
        <v>0</v>
      </c>
      <c r="O142" s="37"/>
      <c r="P142" s="49">
        <f t="shared" si="143"/>
        <v>0</v>
      </c>
      <c r="Q142" s="46"/>
      <c r="R142" s="49">
        <f t="shared" si="144"/>
        <v>0</v>
      </c>
      <c r="S142" s="37"/>
      <c r="T142" s="49">
        <f t="shared" si="145"/>
        <v>0</v>
      </c>
      <c r="U142" s="37"/>
      <c r="V142" s="49">
        <f t="shared" si="146"/>
        <v>0</v>
      </c>
      <c r="W142" s="37"/>
      <c r="X142" s="49">
        <f t="shared" si="147"/>
        <v>0</v>
      </c>
      <c r="Y142" s="37"/>
      <c r="Z142" s="49">
        <f t="shared" si="148"/>
        <v>0</v>
      </c>
      <c r="AA142" s="105">
        <f t="shared" si="149"/>
        <v>0</v>
      </c>
      <c r="AB142" s="108">
        <f t="shared" si="150"/>
        <v>0</v>
      </c>
      <c r="AC142" s="89">
        <f t="shared" si="151"/>
        <v>0</v>
      </c>
      <c r="AD142" s="92">
        <f t="shared" si="152"/>
        <v>0</v>
      </c>
      <c r="AE142" s="309"/>
      <c r="AF142" s="309"/>
      <c r="AG142" s="64"/>
      <c r="AI142" s="271"/>
      <c r="AJ142" s="274"/>
      <c r="AK142" s="263">
        <f t="shared" si="136"/>
        <v>0</v>
      </c>
      <c r="AM142" s="64">
        <f t="shared" si="85"/>
        <v>0</v>
      </c>
      <c r="AN142" s="64">
        <f t="shared" si="86"/>
        <v>0</v>
      </c>
      <c r="AO142" s="64">
        <f t="shared" si="87"/>
        <v>0</v>
      </c>
    </row>
    <row r="143" spans="1:41" s="1" customFormat="1">
      <c r="A143" s="2"/>
      <c r="B143" s="2"/>
      <c r="C143" s="46"/>
      <c r="D143" s="49">
        <f t="shared" si="137"/>
        <v>0</v>
      </c>
      <c r="E143" s="46"/>
      <c r="F143" s="49">
        <f t="shared" si="138"/>
        <v>0</v>
      </c>
      <c r="G143" s="46"/>
      <c r="H143" s="49">
        <f t="shared" si="139"/>
        <v>0</v>
      </c>
      <c r="I143" s="46"/>
      <c r="J143" s="49">
        <f t="shared" si="140"/>
        <v>0</v>
      </c>
      <c r="K143" s="21"/>
      <c r="L143" s="49">
        <f t="shared" si="141"/>
        <v>0</v>
      </c>
      <c r="M143" s="21"/>
      <c r="N143" s="49">
        <f t="shared" si="142"/>
        <v>0</v>
      </c>
      <c r="O143" s="21"/>
      <c r="P143" s="49">
        <f t="shared" si="143"/>
        <v>0</v>
      </c>
      <c r="Q143" s="46"/>
      <c r="R143" s="49">
        <f t="shared" si="144"/>
        <v>0</v>
      </c>
      <c r="S143" s="37"/>
      <c r="T143" s="49">
        <f t="shared" si="145"/>
        <v>0</v>
      </c>
      <c r="U143" s="37"/>
      <c r="V143" s="49">
        <f t="shared" si="146"/>
        <v>0</v>
      </c>
      <c r="W143" s="37"/>
      <c r="X143" s="49">
        <f t="shared" si="147"/>
        <v>0</v>
      </c>
      <c r="Y143" s="37"/>
      <c r="Z143" s="49">
        <f t="shared" si="148"/>
        <v>0</v>
      </c>
      <c r="AA143" s="105">
        <f t="shared" si="149"/>
        <v>0</v>
      </c>
      <c r="AB143" s="108">
        <f t="shared" si="150"/>
        <v>0</v>
      </c>
      <c r="AC143" s="89">
        <f t="shared" si="151"/>
        <v>0</v>
      </c>
      <c r="AD143" s="92">
        <f t="shared" si="152"/>
        <v>0</v>
      </c>
      <c r="AE143" s="309"/>
      <c r="AF143" s="309"/>
      <c r="AG143" s="64"/>
      <c r="AI143" s="271"/>
      <c r="AJ143" s="274"/>
      <c r="AK143" s="263">
        <f t="shared" si="136"/>
        <v>0</v>
      </c>
      <c r="AM143" s="64">
        <f t="shared" si="85"/>
        <v>0</v>
      </c>
      <c r="AN143" s="64">
        <f t="shared" si="86"/>
        <v>0</v>
      </c>
      <c r="AO143" s="64">
        <f t="shared" si="87"/>
        <v>0</v>
      </c>
    </row>
    <row r="144" spans="1:41" s="1" customFormat="1" ht="15" customHeight="1">
      <c r="A144" s="48">
        <v>6798</v>
      </c>
      <c r="B144" s="48" t="s">
        <v>188</v>
      </c>
      <c r="C144" s="59">
        <f>SUM(C136:C143)</f>
        <v>1506.11</v>
      </c>
      <c r="D144" s="69">
        <f>C144/C12</f>
        <v>4.4836712214581284E-2</v>
      </c>
      <c r="E144" s="59">
        <f>SUM(E136:E143)</f>
        <v>1469.09</v>
      </c>
      <c r="F144" s="69">
        <f>E144/E12</f>
        <v>5.621441442644249E-2</v>
      </c>
      <c r="G144" s="59">
        <f>SUM(G136:G143)</f>
        <v>1543.11</v>
      </c>
      <c r="H144" s="69">
        <f>G144/G12</f>
        <v>3.5596558678681653E-2</v>
      </c>
      <c r="I144" s="59">
        <f>SUM(I136:I143)</f>
        <v>1506.11</v>
      </c>
      <c r="J144" s="69">
        <f>I144/I12</f>
        <v>3.9346846997829733E-2</v>
      </c>
      <c r="K144" s="59">
        <f>SUM(K136:K143)</f>
        <v>1506.11</v>
      </c>
      <c r="L144" s="69">
        <f>K144/K12</f>
        <v>4.3020737495375785E-2</v>
      </c>
      <c r="M144" s="59">
        <f>SUM(M136:M143)</f>
        <v>1506.09</v>
      </c>
      <c r="N144" s="69">
        <f>M144/M12</f>
        <v>3.0338918377676164E-2</v>
      </c>
      <c r="O144" s="59">
        <f>SUM(O136:O143)</f>
        <v>1506.11</v>
      </c>
      <c r="P144" s="69">
        <f>O144/O12</f>
        <v>4.7921050511733114E-2</v>
      </c>
      <c r="Q144" s="59">
        <f>SUM(Q136:Q143)</f>
        <v>1506.11</v>
      </c>
      <c r="R144" s="69">
        <f>Q144/Q12</f>
        <v>3.859188525692743E-2</v>
      </c>
      <c r="S144" s="59">
        <f>SUM(S136:S143)</f>
        <v>1506.11</v>
      </c>
      <c r="T144" s="69">
        <f t="shared" si="145"/>
        <v>3.8309191170274016E-2</v>
      </c>
      <c r="U144" s="59">
        <f>SUM(U136:U143)</f>
        <v>1506.11</v>
      </c>
      <c r="V144" s="69">
        <f>U144/U12</f>
        <v>4.8296616022220358E-2</v>
      </c>
      <c r="W144" s="59">
        <f>SUM(W136:W143)</f>
        <v>1506.11</v>
      </c>
      <c r="X144" s="69">
        <f>W144/W12</f>
        <v>4.7468689482827037E-2</v>
      </c>
      <c r="Y144" s="59">
        <f>SUM(Y136:Y143)</f>
        <v>1506.11</v>
      </c>
      <c r="Z144" s="69">
        <f t="shared" si="148"/>
        <v>3.1422411437447194E-2</v>
      </c>
      <c r="AA144" s="114">
        <f>SUM(AA136:AA143)</f>
        <v>18073.280000000002</v>
      </c>
      <c r="AB144" s="115">
        <f t="shared" si="150"/>
        <v>4.0466986981424563E-2</v>
      </c>
      <c r="AC144" s="98">
        <f>SUM(AC136:AC143)</f>
        <v>1506.1066666666668</v>
      </c>
      <c r="AD144" s="99">
        <f t="shared" si="152"/>
        <v>4.0466986981424563E-2</v>
      </c>
      <c r="AE144" s="310"/>
      <c r="AF144" s="310"/>
      <c r="AG144" s="54"/>
      <c r="AI144" s="271"/>
      <c r="AJ144" s="274"/>
      <c r="AK144" s="263">
        <f t="shared" si="136"/>
        <v>91992.995200000005</v>
      </c>
      <c r="AM144" s="64">
        <f t="shared" si="85"/>
        <v>18073.280000000002</v>
      </c>
      <c r="AN144" s="64">
        <f t="shared" si="86"/>
        <v>0</v>
      </c>
      <c r="AO144" s="64">
        <f t="shared" si="87"/>
        <v>7666.0998999999993</v>
      </c>
    </row>
    <row r="145" spans="1:43" s="1" customFormat="1">
      <c r="A145" s="48">
        <v>6799</v>
      </c>
      <c r="B145" s="48" t="s">
        <v>126</v>
      </c>
      <c r="C145" s="59">
        <f>C41+C76+C93+C115+C129+C144+C133</f>
        <v>10448.202184430938</v>
      </c>
      <c r="D145" s="69">
        <f>C145/C12</f>
        <v>0.31104171309073675</v>
      </c>
      <c r="E145" s="59">
        <f>E41+E76+E93+E115+E129+E144+E133</f>
        <v>9989.5335291930551</v>
      </c>
      <c r="F145" s="69">
        <f>E145/E12</f>
        <v>0.38224736247398122</v>
      </c>
      <c r="G145" s="59">
        <f>G41+G76+G93+G115+G129+G144+G133</f>
        <v>11144.121619708749</v>
      </c>
      <c r="H145" s="69">
        <f>G145/G12</f>
        <v>0.25707329947853835</v>
      </c>
      <c r="I145" s="59">
        <f>I41+I76+I93+I115+I129+I144+I133</f>
        <v>11061.518110732477</v>
      </c>
      <c r="J145" s="69">
        <f>I145/I12</f>
        <v>0.28898012805619339</v>
      </c>
      <c r="K145" s="23">
        <f>K41+K76+K93+K115+K129+K144+K133</f>
        <v>10914.24565783137</v>
      </c>
      <c r="L145" s="69">
        <f>K145/K12</f>
        <v>0.31175604531249934</v>
      </c>
      <c r="M145" s="23">
        <f>M41+M76+M93+M115+M129+M144+M133</f>
        <v>11163.161216112163</v>
      </c>
      <c r="N145" s="69">
        <f>M145/M12</f>
        <v>0.22487250892872745</v>
      </c>
      <c r="O145" s="23">
        <f>O41+O76+O93+O115+O129+O144+O133</f>
        <v>13306.591320790068</v>
      </c>
      <c r="P145" s="69">
        <f>O145/O12</f>
        <v>0.42338596438677806</v>
      </c>
      <c r="Q145" s="59">
        <f>Q41+Q76+Q93+Q115+Q129+Q144+Q133</f>
        <v>12455.702359324352</v>
      </c>
      <c r="R145" s="69">
        <f>Q145/Q12</f>
        <v>0.3191593152196624</v>
      </c>
      <c r="S145" s="43">
        <f>S41+S76+S93+S115+S129+S144+S133</f>
        <v>11809.435984671456</v>
      </c>
      <c r="T145" s="69">
        <f t="shared" si="145"/>
        <v>0.30038306680779758</v>
      </c>
      <c r="U145" s="43">
        <f>U41+U76+U93+U115+U129+U144+U133</f>
        <v>11430.287115147252</v>
      </c>
      <c r="V145" s="69">
        <f>U145/U12</f>
        <v>0.36653643347697029</v>
      </c>
      <c r="W145" s="43">
        <f>W41+W76+W93+W115+W129+W144+W133</f>
        <v>11315.848958854811</v>
      </c>
      <c r="X145" s="69">
        <f>W145/W12</f>
        <v>0.35664627448357072</v>
      </c>
      <c r="Y145" s="43">
        <f>Y41+Y76+Y93+Y115+Y129+Y144+Y133</f>
        <v>12397.756377520896</v>
      </c>
      <c r="Z145" s="69">
        <f t="shared" si="148"/>
        <v>0.25865800093996888</v>
      </c>
      <c r="AA145" s="43">
        <f>AA41+AA76+AA93+AA115+AA129+AA144+AA133</f>
        <v>137436.40443431758</v>
      </c>
      <c r="AB145" s="115">
        <f t="shared" si="150"/>
        <v>0.30772705281041018</v>
      </c>
      <c r="AC145" s="43">
        <f>AC41+AC76+AC93+AC115+AC129+AC144+AC133</f>
        <v>11453.033702859801</v>
      </c>
      <c r="AD145" s="99">
        <f t="shared" si="152"/>
        <v>0.30772705281041024</v>
      </c>
      <c r="AE145" s="310"/>
      <c r="AF145" s="310"/>
      <c r="AG145" s="64"/>
      <c r="AI145" s="272">
        <f>AC145/35%</f>
        <v>32722.953436742289</v>
      </c>
      <c r="AJ145" s="276">
        <f>AI145*5.09</f>
        <v>166559.83299301824</v>
      </c>
      <c r="AK145" s="263">
        <f t="shared" si="136"/>
        <v>699551.29857067647</v>
      </c>
      <c r="AM145" s="64">
        <f t="shared" si="85"/>
        <v>137436.40443431758</v>
      </c>
      <c r="AN145" s="64">
        <f t="shared" si="86"/>
        <v>0</v>
      </c>
      <c r="AO145" s="64">
        <f t="shared" si="87"/>
        <v>63399.525008960947</v>
      </c>
      <c r="AP145" s="64"/>
      <c r="AQ145" s="64"/>
    </row>
    <row r="146" spans="1:43" s="1" customFormat="1" ht="15.75" thickBot="1">
      <c r="A146" s="11">
        <v>6999</v>
      </c>
      <c r="B146" s="11" t="s">
        <v>135</v>
      </c>
      <c r="C146" s="60">
        <f>C135-C144</f>
        <v>1675.5627155690652</v>
      </c>
      <c r="D146" s="70">
        <f>C146/C12</f>
        <v>4.9881299025604037E-2</v>
      </c>
      <c r="E146" s="60">
        <f>E135-E144</f>
        <v>-187.47892843989052</v>
      </c>
      <c r="F146" s="70">
        <f>E146/E12</f>
        <v>-7.1738410713743624E-3</v>
      </c>
      <c r="G146" s="60">
        <f>G135-G144</f>
        <v>1054.2668551912523</v>
      </c>
      <c r="H146" s="70">
        <f>G146/G12</f>
        <v>2.4319894222579456E-2</v>
      </c>
      <c r="I146" s="60">
        <f>I135-I144</f>
        <v>3797.4387793193464</v>
      </c>
      <c r="J146" s="70">
        <f>I146/I12</f>
        <v>9.9207390319102612E-2</v>
      </c>
      <c r="K146" s="24">
        <f>K135-K144</f>
        <v>5359.4310388016302</v>
      </c>
      <c r="L146" s="70">
        <f>K146/K12</f>
        <v>0.15308754064766458</v>
      </c>
      <c r="M146" s="24">
        <f>M135-M144</f>
        <v>3793.3115069272362</v>
      </c>
      <c r="N146" s="70">
        <f>M146/M12</f>
        <v>7.6413075041840264E-2</v>
      </c>
      <c r="O146" s="24">
        <f>O135-O144</f>
        <v>-5131.3394478599139</v>
      </c>
      <c r="P146" s="70">
        <f>O146/O12</f>
        <v>-0.16326774065223898</v>
      </c>
      <c r="Q146" s="60">
        <f>Q135-Q144</f>
        <v>1353.3772419020718</v>
      </c>
      <c r="R146" s="70">
        <f>Q146/Q12</f>
        <v>3.4678329756008312E-2</v>
      </c>
      <c r="S146" s="44">
        <f>S135-S144</f>
        <v>-2041.4748387484701</v>
      </c>
      <c r="T146" s="70">
        <f t="shared" si="145"/>
        <v>-5.1926652015403571E-2</v>
      </c>
      <c r="U146" s="44">
        <f>U135-U144</f>
        <v>-1451.4287583620808</v>
      </c>
      <c r="V146" s="70">
        <f>U146/U12</f>
        <v>-4.6543145869970638E-2</v>
      </c>
      <c r="W146" s="44">
        <f>W135-W144</f>
        <v>6161.7363735116805</v>
      </c>
      <c r="X146" s="70">
        <f>W146/W12</f>
        <v>0.19420198431008809</v>
      </c>
      <c r="Y146" s="44">
        <f>Y135-Y144</f>
        <v>6832.8466924943814</v>
      </c>
      <c r="Z146" s="70">
        <f t="shared" si="148"/>
        <v>0.14255566994479732</v>
      </c>
      <c r="AA146" s="123">
        <f>AA135-AA144</f>
        <v>21216.24923030633</v>
      </c>
      <c r="AB146" s="110">
        <f t="shared" si="150"/>
        <v>4.7504253870767517E-2</v>
      </c>
      <c r="AC146" s="93">
        <f>AC135-AC144</f>
        <v>1768.0207691921958</v>
      </c>
      <c r="AD146" s="94">
        <f t="shared" si="152"/>
        <v>4.7504253870767559E-2</v>
      </c>
      <c r="AE146" s="310"/>
      <c r="AF146" s="310"/>
      <c r="AG146" s="64"/>
      <c r="AI146" s="271"/>
      <c r="AJ146" s="274"/>
      <c r="AK146" s="263">
        <f t="shared" si="136"/>
        <v>107990.7085822591</v>
      </c>
      <c r="AM146" s="64">
        <f t="shared" si="85"/>
        <v>21216.249230306308</v>
      </c>
      <c r="AN146" s="64">
        <f t="shared" si="86"/>
        <v>0</v>
      </c>
      <c r="AO146" s="64">
        <f t="shared" si="87"/>
        <v>6888.6901612815454</v>
      </c>
    </row>
    <row r="147" spans="1:43" s="1" customFormat="1" ht="15.75" thickTop="1">
      <c r="C147" s="63"/>
      <c r="D147" s="18"/>
      <c r="E147" s="63"/>
      <c r="F147" s="77"/>
      <c r="G147" s="63"/>
      <c r="H147" s="77"/>
      <c r="I147" s="63"/>
      <c r="J147" s="77"/>
      <c r="K147" s="27"/>
      <c r="L147" s="77"/>
      <c r="M147" s="27"/>
      <c r="N147" s="77"/>
      <c r="O147" s="27"/>
      <c r="P147" s="77"/>
      <c r="Q147" s="63"/>
      <c r="R147" s="77"/>
      <c r="S147" s="47"/>
      <c r="T147" s="77"/>
      <c r="U147" s="47"/>
      <c r="V147" s="77"/>
      <c r="W147" s="47"/>
      <c r="X147" s="77"/>
      <c r="Y147" s="47"/>
      <c r="Z147" s="77"/>
      <c r="AA147" s="106"/>
      <c r="AB147" s="107"/>
      <c r="AC147" s="90"/>
      <c r="AD147" s="91"/>
      <c r="AE147" s="308"/>
      <c r="AF147" s="308"/>
      <c r="AG147" s="64"/>
      <c r="AI147" s="271"/>
      <c r="AJ147" s="274"/>
      <c r="AK147" s="263">
        <f t="shared" si="136"/>
        <v>0</v>
      </c>
      <c r="AM147" s="64">
        <f t="shared" si="85"/>
        <v>0</v>
      </c>
      <c r="AN147" s="64">
        <f t="shared" si="86"/>
        <v>0</v>
      </c>
      <c r="AO147" s="64">
        <f t="shared" si="87"/>
        <v>0</v>
      </c>
    </row>
    <row r="148" spans="1:43" s="1" customFormat="1" ht="15.75" thickBot="1">
      <c r="A148" s="141"/>
      <c r="B148" s="11" t="s">
        <v>186</v>
      </c>
      <c r="C148" s="149"/>
      <c r="D148" s="150">
        <f>C148/C12</f>
        <v>0</v>
      </c>
      <c r="E148" s="149"/>
      <c r="F148" s="150">
        <f>E148/E12</f>
        <v>0</v>
      </c>
      <c r="G148" s="149"/>
      <c r="H148" s="150">
        <f>G148/G12</f>
        <v>0</v>
      </c>
      <c r="I148" s="149"/>
      <c r="J148" s="150">
        <f>I148/I12</f>
        <v>0</v>
      </c>
      <c r="K148" s="152"/>
      <c r="L148" s="150">
        <f>K148/K12</f>
        <v>0</v>
      </c>
      <c r="M148" s="152"/>
      <c r="N148" s="150">
        <f>M148/M12</f>
        <v>0</v>
      </c>
      <c r="O148" s="152"/>
      <c r="P148" s="150">
        <f>O148/O12</f>
        <v>0</v>
      </c>
      <c r="Q148" s="149"/>
      <c r="R148" s="207">
        <f>Q148/Q12</f>
        <v>0</v>
      </c>
      <c r="S148" s="141"/>
      <c r="T148" s="208">
        <f>S148/S12</f>
        <v>0</v>
      </c>
      <c r="U148" s="141"/>
      <c r="V148" s="208">
        <f>U148/U12</f>
        <v>0</v>
      </c>
      <c r="W148" s="141"/>
      <c r="X148" s="208">
        <f>W148/W12</f>
        <v>0</v>
      </c>
      <c r="Y148" s="141"/>
      <c r="Z148" s="208">
        <f>Y148/Y12</f>
        <v>0</v>
      </c>
      <c r="AA148" s="165">
        <f>C148+E148+G148+I148+K148+M148+O148+Q148+S148+U148+W148+Y148</f>
        <v>0</v>
      </c>
      <c r="AB148" s="150">
        <f>AA148/AA12</f>
        <v>0</v>
      </c>
      <c r="AC148" s="165">
        <f t="shared" ref="AC148" si="156">AA148/12</f>
        <v>0</v>
      </c>
      <c r="AD148" s="150">
        <f>AC148/AC12</f>
        <v>0</v>
      </c>
      <c r="AE148" s="314"/>
      <c r="AF148" s="314"/>
      <c r="AG148" s="64"/>
      <c r="AI148" s="271"/>
      <c r="AJ148" s="274"/>
      <c r="AK148" s="263">
        <f t="shared" si="136"/>
        <v>0</v>
      </c>
      <c r="AM148" s="64">
        <f t="shared" si="85"/>
        <v>0</v>
      </c>
      <c r="AN148" s="64">
        <f t="shared" si="86"/>
        <v>0</v>
      </c>
      <c r="AO148" s="64">
        <f t="shared" si="87"/>
        <v>0</v>
      </c>
    </row>
    <row r="149" spans="1:43" s="1" customFormat="1" ht="15.75" thickTop="1">
      <c r="B149" s="66"/>
      <c r="C149" s="64"/>
      <c r="D149" s="19"/>
      <c r="E149" s="64"/>
      <c r="F149" s="78"/>
      <c r="G149" s="64"/>
      <c r="H149" s="78"/>
      <c r="I149" s="64"/>
      <c r="J149" s="78"/>
      <c r="K149" s="27"/>
      <c r="L149" s="78"/>
      <c r="M149" s="27"/>
      <c r="N149" s="78"/>
      <c r="O149" s="27"/>
      <c r="P149" s="78"/>
      <c r="Q149" s="64"/>
      <c r="R149" s="78"/>
      <c r="T149" s="78"/>
      <c r="V149" s="78"/>
      <c r="X149" s="78"/>
      <c r="Z149" s="78"/>
      <c r="AA149" s="103"/>
      <c r="AB149" s="104"/>
      <c r="AC149" s="87"/>
      <c r="AD149" s="88"/>
      <c r="AE149" s="306"/>
      <c r="AF149" s="306"/>
      <c r="AG149" s="64"/>
      <c r="AI149" s="271"/>
      <c r="AJ149" s="274"/>
      <c r="AK149" s="263">
        <f t="shared" si="136"/>
        <v>0</v>
      </c>
      <c r="AM149" s="64">
        <f t="shared" ref="AM149:AM152" si="157">C149+E149+G149+I149+K149+M149+O149+Q149+S149+U149+W149+Y149</f>
        <v>0</v>
      </c>
      <c r="AN149" s="64">
        <f t="shared" ref="AN149:AN152" si="158">AA149-AM149</f>
        <v>0</v>
      </c>
      <c r="AO149" s="64">
        <f t="shared" ref="AO149:AO152" si="159">Q149*5.09</f>
        <v>0</v>
      </c>
    </row>
    <row r="150" spans="1:43" s="1" customFormat="1" ht="15.75" thickBot="1">
      <c r="A150" s="140"/>
      <c r="B150" s="282" t="s">
        <v>206</v>
      </c>
      <c r="C150" s="157"/>
      <c r="D150" s="281"/>
      <c r="E150" s="157"/>
      <c r="F150" s="143"/>
      <c r="G150" s="157"/>
      <c r="H150" s="143"/>
      <c r="I150" s="157"/>
      <c r="J150" s="143"/>
      <c r="K150" s="24"/>
      <c r="L150" s="143"/>
      <c r="M150" s="24"/>
      <c r="N150" s="143"/>
      <c r="O150" s="24"/>
      <c r="P150" s="143"/>
      <c r="Q150" s="157"/>
      <c r="R150" s="143"/>
      <c r="S150" s="140"/>
      <c r="T150" s="143"/>
      <c r="U150" s="140"/>
      <c r="V150" s="143"/>
      <c r="W150" s="140"/>
      <c r="X150" s="143"/>
      <c r="Y150" s="140"/>
      <c r="Z150" s="143"/>
      <c r="AA150" s="140">
        <f t="shared" ref="AA150" si="160">C150+E150+G150+I150+K150+M150+O150+Q150+S150+U150+W150+Y150</f>
        <v>0</v>
      </c>
      <c r="AB150" s="143"/>
      <c r="AC150" s="140">
        <f t="shared" ref="AC150" si="161">AA150/12</f>
        <v>0</v>
      </c>
      <c r="AD150" s="143"/>
      <c r="AE150" s="306"/>
      <c r="AF150" s="306"/>
      <c r="AG150" s="64"/>
      <c r="AI150" s="271"/>
      <c r="AJ150" s="274"/>
      <c r="AK150" s="263"/>
      <c r="AM150" s="64">
        <f t="shared" si="157"/>
        <v>0</v>
      </c>
      <c r="AN150" s="64">
        <f t="shared" si="158"/>
        <v>0</v>
      </c>
      <c r="AO150" s="64">
        <f t="shared" si="159"/>
        <v>0</v>
      </c>
    </row>
    <row r="151" spans="1:43" s="1" customFormat="1" ht="15.75" thickTop="1">
      <c r="B151" s="66"/>
      <c r="C151" s="64"/>
      <c r="D151" s="19"/>
      <c r="E151" s="64"/>
      <c r="F151" s="78"/>
      <c r="G151" s="64"/>
      <c r="H151" s="78"/>
      <c r="I151" s="64"/>
      <c r="J151" s="78"/>
      <c r="K151" s="27"/>
      <c r="L151" s="78"/>
      <c r="M151" s="27"/>
      <c r="N151" s="78"/>
      <c r="O151" s="27"/>
      <c r="P151" s="78"/>
      <c r="Q151" s="64"/>
      <c r="R151" s="78"/>
      <c r="T151" s="78"/>
      <c r="V151" s="78"/>
      <c r="X151" s="78"/>
      <c r="Z151" s="78"/>
      <c r="AA151" s="103"/>
      <c r="AB151" s="104"/>
      <c r="AC151" s="87"/>
      <c r="AD151" s="88"/>
      <c r="AE151" s="306"/>
      <c r="AF151" s="306"/>
      <c r="AG151" s="64"/>
      <c r="AI151" s="271"/>
      <c r="AJ151" s="274"/>
      <c r="AK151" s="263"/>
      <c r="AM151" s="64">
        <f t="shared" si="157"/>
        <v>0</v>
      </c>
      <c r="AN151" s="64">
        <f t="shared" si="158"/>
        <v>0</v>
      </c>
      <c r="AO151" s="64">
        <f t="shared" si="159"/>
        <v>0</v>
      </c>
    </row>
    <row r="152" spans="1:43" s="1" customFormat="1" ht="15.75" thickBot="1">
      <c r="A152" s="141"/>
      <c r="B152" s="148" t="s">
        <v>189</v>
      </c>
      <c r="C152" s="149">
        <f>C146-C148-C150</f>
        <v>1675.5627155690652</v>
      </c>
      <c r="D152" s="150">
        <f>C152/C12</f>
        <v>4.9881299025604037E-2</v>
      </c>
      <c r="E152" s="149">
        <f>E146-E148-E150</f>
        <v>-187.47892843989052</v>
      </c>
      <c r="F152" s="150">
        <f>E152/E12</f>
        <v>-7.1738410713743624E-3</v>
      </c>
      <c r="G152" s="149">
        <f>G146-G148-G150</f>
        <v>1054.2668551912523</v>
      </c>
      <c r="H152" s="150">
        <f>G152/G12</f>
        <v>2.4319894222579456E-2</v>
      </c>
      <c r="I152" s="149">
        <f>I146-I148-I150</f>
        <v>3797.4387793193464</v>
      </c>
      <c r="J152" s="150">
        <f>I152/I12</f>
        <v>9.9207390319102612E-2</v>
      </c>
      <c r="K152" s="149">
        <f>K146-K148-K150</f>
        <v>5359.4310388016302</v>
      </c>
      <c r="L152" s="150">
        <f>K152/K12</f>
        <v>0.15308754064766458</v>
      </c>
      <c r="M152" s="149">
        <f>M146-M148-M150</f>
        <v>3793.3115069272362</v>
      </c>
      <c r="N152" s="150">
        <f>M152/M12</f>
        <v>7.6413075041840264E-2</v>
      </c>
      <c r="O152" s="149">
        <f>O146-O148-O150</f>
        <v>-5131.3394478599139</v>
      </c>
      <c r="P152" s="150">
        <f>O152/O12</f>
        <v>-0.16326774065223898</v>
      </c>
      <c r="Q152" s="149">
        <f>Q146-Q148-Q150</f>
        <v>1353.3772419020718</v>
      </c>
      <c r="R152" s="150">
        <f>Q152/Q12</f>
        <v>3.4678329756008312E-2</v>
      </c>
      <c r="S152" s="149">
        <f>S146-S148-S150</f>
        <v>-2041.4748387484701</v>
      </c>
      <c r="T152" s="150">
        <f>S152/S12</f>
        <v>-5.1926652015403571E-2</v>
      </c>
      <c r="U152" s="149">
        <f>U146-U148-U150</f>
        <v>-1451.4287583620808</v>
      </c>
      <c r="V152" s="150">
        <f>U152/U12</f>
        <v>-4.6543145869970638E-2</v>
      </c>
      <c r="W152" s="149">
        <f>W146-W148-W150</f>
        <v>6161.7363735116805</v>
      </c>
      <c r="X152" s="150">
        <f>W152/W12</f>
        <v>0.19420198431008809</v>
      </c>
      <c r="Y152" s="149">
        <f>Y146-Y148-Y150</f>
        <v>6832.8466924943814</v>
      </c>
      <c r="Z152" s="150">
        <f>Y152/Y12</f>
        <v>0.14255566994479732</v>
      </c>
      <c r="AA152" s="149">
        <f>AA146-AA148-AA150</f>
        <v>21216.24923030633</v>
      </c>
      <c r="AB152" s="150">
        <f>AA152/AA12</f>
        <v>4.7504253870767517E-2</v>
      </c>
      <c r="AC152" s="316">
        <f>AC146-AC148-AC150</f>
        <v>1768.0207691921958</v>
      </c>
      <c r="AD152" s="150">
        <f>AC152/AC12</f>
        <v>4.7504253870767559E-2</v>
      </c>
      <c r="AE152" s="314"/>
      <c r="AF152" s="314"/>
      <c r="AG152" s="64"/>
      <c r="AI152" s="271"/>
      <c r="AJ152" s="274"/>
      <c r="AK152" s="263">
        <f t="shared" si="136"/>
        <v>107990.7085822591</v>
      </c>
      <c r="AM152" s="64">
        <f t="shared" si="157"/>
        <v>21216.249230306308</v>
      </c>
      <c r="AN152" s="64">
        <f t="shared" si="158"/>
        <v>0</v>
      </c>
      <c r="AO152" s="64">
        <f t="shared" si="159"/>
        <v>6888.6901612815454</v>
      </c>
    </row>
    <row r="153" spans="1:43" s="1" customFormat="1" ht="15.75" thickTop="1">
      <c r="B153" s="65"/>
      <c r="C153" s="168">
        <f>C152*5.09</f>
        <v>8528.6142222465423</v>
      </c>
      <c r="D153" s="133"/>
      <c r="E153" s="168">
        <f>E152*5.09</f>
        <v>-954.26774575904278</v>
      </c>
      <c r="F153" s="259"/>
      <c r="G153" s="168">
        <f>G152*5.09</f>
        <v>5366.2182929234741</v>
      </c>
      <c r="H153" s="259"/>
      <c r="I153" s="168">
        <f>I152*5.09</f>
        <v>19328.963386735471</v>
      </c>
      <c r="J153" s="259"/>
      <c r="K153" s="168">
        <f>K152*5.09</f>
        <v>27279.503987500299</v>
      </c>
      <c r="L153" s="259"/>
      <c r="M153" s="168">
        <f>M152*5.09</f>
        <v>19307.955570259634</v>
      </c>
      <c r="N153" s="259"/>
      <c r="O153" s="168">
        <f>O152*5.09</f>
        <v>-26118.517789606962</v>
      </c>
      <c r="P153" s="259"/>
      <c r="Q153" s="168">
        <f>Q152*5.09</f>
        <v>6888.6901612815454</v>
      </c>
      <c r="R153" s="259"/>
      <c r="S153" s="168">
        <f>S152*5.09</f>
        <v>-10391.106929229712</v>
      </c>
      <c r="T153" s="259"/>
      <c r="U153" s="168">
        <f>U152*5.09</f>
        <v>-7387.772380062991</v>
      </c>
      <c r="V153" s="259"/>
      <c r="W153" s="168">
        <f>W152*5.09</f>
        <v>31363.238141174454</v>
      </c>
      <c r="X153" s="259"/>
      <c r="Y153" s="168">
        <f>Y152*5.09</f>
        <v>34779.189664796402</v>
      </c>
      <c r="Z153" s="259"/>
      <c r="AA153" s="168">
        <f>AA152*5.09</f>
        <v>107990.70858225922</v>
      </c>
      <c r="AB153" s="259"/>
      <c r="AC153" s="133"/>
      <c r="AD153" s="259"/>
      <c r="AE153" s="306"/>
      <c r="AF153" s="306"/>
      <c r="AG153" s="64"/>
      <c r="AI153" s="271"/>
      <c r="AJ153" s="274"/>
    </row>
    <row r="154" spans="1:43">
      <c r="A154" s="1"/>
      <c r="B154" s="180" t="s">
        <v>138</v>
      </c>
      <c r="C154" s="168">
        <f>C152</f>
        <v>1675.5627155690652</v>
      </c>
      <c r="E154" s="168">
        <f>E152+C154</f>
        <v>1488.0837871291747</v>
      </c>
      <c r="G154" s="168">
        <f>G152+E154</f>
        <v>2542.3506423204271</v>
      </c>
      <c r="I154" s="168">
        <f>I152+G154</f>
        <v>6339.7894216397735</v>
      </c>
      <c r="K154" s="168">
        <f>K152+I154</f>
        <v>11699.220460441404</v>
      </c>
      <c r="M154" s="168">
        <f>M152+K154</f>
        <v>15492.531967368639</v>
      </c>
      <c r="O154" s="168">
        <f>O152+M154</f>
        <v>10361.192519508724</v>
      </c>
      <c r="Q154" s="168">
        <f>Q152+O154</f>
        <v>11714.569761410796</v>
      </c>
      <c r="S154" s="168">
        <f>S152+Q154</f>
        <v>9673.0949226623252</v>
      </c>
      <c r="U154" s="168">
        <f>U152+S154</f>
        <v>8221.6661643002444</v>
      </c>
      <c r="W154" s="168">
        <f>W152+U154</f>
        <v>14383.402537811926</v>
      </c>
      <c r="Y154" s="168">
        <f>Y152+W154</f>
        <v>21216.249230306308</v>
      </c>
    </row>
    <row r="155" spans="1:43" ht="15" customHeight="1">
      <c r="A155" s="1"/>
      <c r="B155" s="1"/>
      <c r="Q155" s="168"/>
      <c r="Z155" s="259" t="s">
        <v>103</v>
      </c>
      <c r="AA155" s="168">
        <f>AA152*5.09</f>
        <v>107990.70858225922</v>
      </c>
    </row>
    <row r="156" spans="1:43" s="260" customFormat="1">
      <c r="B156" s="303" t="s">
        <v>103</v>
      </c>
      <c r="C156" s="260">
        <f>C154*5.09</f>
        <v>8528.6142222465423</v>
      </c>
      <c r="E156" s="260">
        <f>E154*5.09</f>
        <v>7574.3464764874989</v>
      </c>
      <c r="G156" s="260">
        <f>G154*5.09</f>
        <v>12940.564769410974</v>
      </c>
      <c r="I156" s="260">
        <f>I154*5.09</f>
        <v>32269.528156146447</v>
      </c>
      <c r="K156" s="260">
        <f>K154*5.09</f>
        <v>59549.032143646742</v>
      </c>
      <c r="M156" s="260">
        <f>M154*5.09</f>
        <v>78856.987713906376</v>
      </c>
      <c r="O156" s="260">
        <f>O154*5.09</f>
        <v>52738.469924299403</v>
      </c>
      <c r="Q156" s="168">
        <f>Q154*5.09</f>
        <v>59627.160085580952</v>
      </c>
      <c r="S156" s="260">
        <f>S154*5.09</f>
        <v>49236.053156351234</v>
      </c>
      <c r="U156" s="260">
        <f>U154*5.09</f>
        <v>41848.280776288244</v>
      </c>
      <c r="W156" s="260">
        <f>W154*5.09</f>
        <v>73211.518917462701</v>
      </c>
      <c r="Y156" s="260">
        <f>Y154*5.09</f>
        <v>107990.7085822591</v>
      </c>
      <c r="AE156" s="315"/>
      <c r="AF156" s="315"/>
    </row>
    <row r="157" spans="1:43">
      <c r="Q157" s="168"/>
    </row>
    <row r="158" spans="1:43">
      <c r="E158" s="26"/>
      <c r="G158" s="26"/>
      <c r="I158" s="26"/>
      <c r="Q158" s="26"/>
      <c r="S158" s="26"/>
    </row>
    <row r="159" spans="1:43">
      <c r="D159" s="26"/>
      <c r="F159" s="133"/>
      <c r="H159" s="133"/>
      <c r="K159" s="168"/>
      <c r="M159" s="168"/>
      <c r="O159" s="168"/>
      <c r="Q159" s="168"/>
      <c r="S159" s="168"/>
    </row>
    <row r="160" spans="1:43">
      <c r="D160" s="26"/>
      <c r="K160" s="168"/>
      <c r="M160" s="168"/>
      <c r="O160" s="168"/>
      <c r="Q160" s="168"/>
      <c r="S160" s="168"/>
    </row>
    <row r="161" spans="5:9">
      <c r="E161" s="26"/>
      <c r="G161" s="26"/>
      <c r="I161" s="26"/>
    </row>
    <row r="162" spans="5:9">
      <c r="E162" s="26"/>
      <c r="G162" s="26"/>
      <c r="I162" s="26"/>
    </row>
  </sheetData>
  <customSheetViews>
    <customSheetView guid="{AA4262F8-9AB3-4147-94E2-8DEF81F7E83C}" hiddenRows="1">
      <pane xSplit="2" ySplit="2" topLeftCell="C111" activePane="bottomRight" state="frozen"/>
      <selection pane="bottomRight" activeCell="I132" activeCellId="2" sqref="C132 F132 I132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1"/>
    </customSheetView>
    <customSheetView guid="{A8167CC1-C909-4D11-B8D5-4313083C8125}" hiddenRows="1" hiddenColumns="1">
      <pane xSplit="2" ySplit="2" topLeftCell="E3" activePane="bottomRight" state="frozen"/>
      <selection pane="bottomRight" activeCell="I167" sqref="I167"/>
      <pageMargins left="0.70866141732283472" right="0.28999999999999998" top="0.46" bottom="0.28000000000000003" header="0.31496062992125984" footer="0.24"/>
      <printOptions gridLines="1"/>
      <pageSetup paperSize="8" scale="41" fitToHeight="4" orientation="landscape" r:id="rId2"/>
    </customSheetView>
    <customSheetView guid="{C4C974E7-2FCF-4C3A-A063-03001047949F}">
      <pane xSplit="2" ySplit="2" topLeftCell="C101" activePane="bottomRight" state="frozen"/>
      <selection pane="bottomRight" activeCell="B2" sqref="B1:R1048576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3"/>
    </customSheetView>
    <customSheetView guid="{B2BB7590-1CD2-4457-858D-F8835B99F338}" hiddenRows="1">
      <pane xSplit="2" ySplit="2" topLeftCell="I26" activePane="bottomRight" state="frozen"/>
      <selection pane="bottomRight" activeCell="L38" sqref="L38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4"/>
    </customSheetView>
    <customSheetView guid="{209662B1-09B2-4060-A837-250CED7848ED}" hiddenRows="1">
      <pane xSplit="2" ySplit="2" topLeftCell="X3" activePane="bottomRight" state="frozen"/>
      <selection pane="bottomRight" activeCell="B38" sqref="B38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5"/>
    </customSheetView>
    <customSheetView guid="{02AA01BD-C75B-4B6E-A8E6-EEB6E90D29E4}" hiddenRows="1">
      <pane xSplit="2" ySplit="2" topLeftCell="I108" activePane="bottomRight" state="frozen"/>
      <selection pane="bottomRight" activeCell="P126" sqref="P126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6"/>
    </customSheetView>
    <customSheetView guid="{879F34B1-DA85-44D2-99EE-74A633FB2C72}" hiddenRows="1">
      <pane xSplit="2" ySplit="2" topLeftCell="AG68" activePane="bottomRight" state="frozen"/>
      <selection pane="bottomRight" activeCell="AM86" sqref="AM86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7"/>
    </customSheetView>
    <customSheetView guid="{F3E5B7E7-D3C6-4CDC-BAA7-D62F15A870E4}" hiddenRows="1">
      <pane xSplit="2" ySplit="2" topLeftCell="C114" activePane="bottomRight" state="frozen"/>
      <selection pane="bottomRight" activeCell="I103" sqref="I103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8"/>
    </customSheetView>
    <customSheetView guid="{D65E0E17-9A53-4B36-ADDE-FDFBD878E6A1}" hiddenRows="1">
      <pane xSplit="2" ySplit="2" topLeftCell="C114" activePane="bottomRight" state="frozen"/>
      <selection pane="bottomRight" activeCell="I103" sqref="I103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9"/>
    </customSheetView>
    <customSheetView guid="{BFB0E08A-7D07-48F2-93C4-BE631A8642F6}" hiddenRows="1">
      <pane xSplit="2" ySplit="2" topLeftCell="C111" activePane="bottomRight" state="frozen"/>
      <selection pane="bottomRight" activeCell="B25" sqref="B25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10"/>
    </customSheetView>
    <customSheetView guid="{E19D3675-E478-4A54-8E7A-94A199F67811}" hiddenRows="1">
      <pane xSplit="2" ySplit="2" topLeftCell="C117" activePane="bottomRight" state="frozen"/>
      <selection pane="bottomRight" activeCell="L122" sqref="L122"/>
      <pageMargins left="0.70866141732283472" right="0.28999999999999998" top="0.74803149606299213" bottom="0.74803149606299213" header="0.31496062992125984" footer="0.31496062992125984"/>
      <printOptions gridLines="1"/>
      <pageSetup paperSize="8" scale="41" fitToHeight="4" orientation="landscape" r:id="rId11"/>
    </customSheetView>
  </customSheetViews>
  <mergeCells count="1">
    <mergeCell ref="A1:AD1"/>
  </mergeCells>
  <printOptions horizontalCentered="1" verticalCentered="1" gridLines="1"/>
  <pageMargins left="0.41" right="0.28999999999999998" top="0.61" bottom="0.47" header="0.31496062992126" footer="0.31496062992126"/>
  <pageSetup paperSize="8" scale="59" fitToHeight="4" orientation="landscape" r:id="rId1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2"/>
  <sheetViews>
    <sheetView zoomScale="85" zoomScaleNormal="85" workbookViewId="0">
      <pane xSplit="2" ySplit="5" topLeftCell="C36" activePane="bottomRight" state="frozen"/>
      <selection activeCell="M143" sqref="M143"/>
      <selection pane="topRight" activeCell="M143" sqref="M143"/>
      <selection pane="bottomLeft" activeCell="M143" sqref="M143"/>
      <selection pane="bottomRight" activeCell="C59" sqref="C59"/>
    </sheetView>
  </sheetViews>
  <sheetFormatPr defaultColWidth="9.140625" defaultRowHeight="15"/>
  <cols>
    <col min="1" max="1" width="6.42578125" style="133" bestFit="1" customWidth="1"/>
    <col min="2" max="2" width="35.5703125" style="133" bestFit="1" customWidth="1"/>
    <col min="3" max="3" width="13.28515625" style="168" bestFit="1" customWidth="1"/>
    <col min="4" max="4" width="8.140625" style="133" bestFit="1" customWidth="1"/>
    <col min="5" max="5" width="14.28515625" style="168" bestFit="1" customWidth="1"/>
    <col min="6" max="6" width="8.140625" style="259" bestFit="1" customWidth="1"/>
    <col min="7" max="7" width="13.28515625" style="168" bestFit="1" customWidth="1"/>
    <col min="8" max="8" width="8.140625" style="259" bestFit="1" customWidth="1"/>
    <col min="9" max="9" width="13.28515625" style="168" bestFit="1" customWidth="1"/>
    <col min="10" max="10" width="8.7109375" style="259" bestFit="1" customWidth="1"/>
    <col min="11" max="11" width="13.28515625" style="26" bestFit="1" customWidth="1"/>
    <col min="12" max="12" width="8.7109375" style="259" bestFit="1" customWidth="1"/>
    <col min="13" max="13" width="13.28515625" style="26" bestFit="1" customWidth="1"/>
    <col min="14" max="14" width="8.140625" style="259" bestFit="1" customWidth="1"/>
    <col min="15" max="15" width="14.28515625" style="26" bestFit="1" customWidth="1"/>
    <col min="16" max="16" width="8.85546875" style="259" bestFit="1" customWidth="1"/>
    <col min="17" max="17" width="13.28515625" style="133" bestFit="1" customWidth="1"/>
    <col min="18" max="18" width="8.140625" style="259" bestFit="1" customWidth="1"/>
    <col min="19" max="19" width="13.28515625" style="133" bestFit="1" customWidth="1"/>
    <col min="20" max="20" width="8.140625" style="259" bestFit="1" customWidth="1"/>
    <col min="21" max="21" width="13.28515625" style="133" bestFit="1" customWidth="1"/>
    <col min="22" max="22" width="9.5703125" style="259" customWidth="1"/>
    <col min="23" max="23" width="13.28515625" style="133" bestFit="1" customWidth="1"/>
    <col min="24" max="24" width="8.140625" style="259" bestFit="1" customWidth="1"/>
    <col min="25" max="25" width="13.28515625" style="133" bestFit="1" customWidth="1"/>
    <col min="26" max="26" width="8.140625" style="259" bestFit="1" customWidth="1"/>
    <col min="27" max="27" width="13.28515625" style="133" bestFit="1" customWidth="1"/>
    <col min="28" max="28" width="8.140625" style="259" bestFit="1" customWidth="1"/>
    <col min="29" max="29" width="10.5703125" style="133" bestFit="1" customWidth="1"/>
    <col min="30" max="30" width="8.140625" style="259" bestFit="1" customWidth="1"/>
    <col min="31" max="31" width="21.28515625" style="259" customWidth="1"/>
    <col min="32" max="32" width="16.85546875" style="168" customWidth="1"/>
    <col min="33" max="33" width="51.7109375" style="133" customWidth="1"/>
    <col min="34" max="34" width="9.140625" style="133" customWidth="1"/>
    <col min="35" max="35" width="11.140625" style="133" customWidth="1"/>
    <col min="36" max="36" width="11.5703125" style="133" customWidth="1"/>
    <col min="37" max="37" width="18.7109375" style="133" customWidth="1"/>
    <col min="38" max="38" width="12.5703125" style="133" customWidth="1"/>
    <col min="39" max="16384" width="9.140625" style="133"/>
  </cols>
  <sheetData>
    <row r="1" spans="1:38" s="1" customFormat="1">
      <c r="A1" s="600" t="s">
        <v>297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1"/>
      <c r="AE1" s="210"/>
      <c r="AF1" s="64"/>
      <c r="AI1" s="269"/>
      <c r="AJ1" s="134"/>
      <c r="AK1" s="267"/>
      <c r="AL1" s="5"/>
    </row>
    <row r="2" spans="1:38" s="1" customFormat="1">
      <c r="A2" s="32"/>
      <c r="B2" s="32"/>
      <c r="C2" s="598" t="s">
        <v>64</v>
      </c>
      <c r="D2" s="599"/>
      <c r="E2" s="595" t="s">
        <v>65</v>
      </c>
      <c r="F2" s="595"/>
      <c r="G2" s="598" t="s">
        <v>81</v>
      </c>
      <c r="H2" s="599"/>
      <c r="I2" s="598" t="s">
        <v>82</v>
      </c>
      <c r="J2" s="599"/>
      <c r="K2" s="598" t="s">
        <v>83</v>
      </c>
      <c r="L2" s="599"/>
      <c r="M2" s="598" t="s">
        <v>84</v>
      </c>
      <c r="N2" s="602"/>
      <c r="O2" s="598" t="s">
        <v>85</v>
      </c>
      <c r="P2" s="599"/>
      <c r="Q2" s="598" t="s">
        <v>86</v>
      </c>
      <c r="R2" s="599"/>
      <c r="S2" s="595" t="s">
        <v>87</v>
      </c>
      <c r="T2" s="595"/>
      <c r="U2" s="598" t="s">
        <v>120</v>
      </c>
      <c r="V2" s="599"/>
      <c r="W2" s="598" t="s">
        <v>121</v>
      </c>
      <c r="X2" s="599"/>
      <c r="Y2" s="595" t="s">
        <v>122</v>
      </c>
      <c r="Z2" s="595"/>
      <c r="AA2" s="596" t="s">
        <v>118</v>
      </c>
      <c r="AB2" s="596"/>
      <c r="AC2" s="597" t="s">
        <v>119</v>
      </c>
      <c r="AD2" s="597"/>
      <c r="AE2" s="211"/>
      <c r="AF2" s="64"/>
      <c r="AI2" s="605" t="s">
        <v>198</v>
      </c>
      <c r="AJ2" s="198"/>
      <c r="AK2" s="603" t="s">
        <v>161</v>
      </c>
      <c r="AL2" s="5"/>
    </row>
    <row r="3" spans="1:38" s="1" customFormat="1" ht="15.75" thickBot="1">
      <c r="A3" s="30"/>
      <c r="B3" s="12" t="s">
        <v>69</v>
      </c>
      <c r="C3" s="173" t="s">
        <v>106</v>
      </c>
      <c r="D3" s="31" t="s">
        <v>80</v>
      </c>
      <c r="E3" s="173" t="s">
        <v>106</v>
      </c>
      <c r="F3" s="74" t="s">
        <v>80</v>
      </c>
      <c r="G3" s="173" t="s">
        <v>106</v>
      </c>
      <c r="H3" s="74" t="s">
        <v>80</v>
      </c>
      <c r="I3" s="173" t="s">
        <v>106</v>
      </c>
      <c r="J3" s="74" t="s">
        <v>80</v>
      </c>
      <c r="K3" s="29" t="s">
        <v>106</v>
      </c>
      <c r="L3" s="74" t="s">
        <v>80</v>
      </c>
      <c r="M3" s="29" t="s">
        <v>106</v>
      </c>
      <c r="N3" s="74" t="s">
        <v>80</v>
      </c>
      <c r="O3" s="29" t="s">
        <v>106</v>
      </c>
      <c r="P3" s="74" t="s">
        <v>80</v>
      </c>
      <c r="Q3" s="12" t="s">
        <v>106</v>
      </c>
      <c r="R3" s="74" t="s">
        <v>80</v>
      </c>
      <c r="S3" s="12" t="s">
        <v>106</v>
      </c>
      <c r="T3" s="74" t="s">
        <v>80</v>
      </c>
      <c r="U3" s="12" t="s">
        <v>106</v>
      </c>
      <c r="V3" s="74" t="s">
        <v>80</v>
      </c>
      <c r="W3" s="12" t="s">
        <v>106</v>
      </c>
      <c r="X3" s="74" t="s">
        <v>80</v>
      </c>
      <c r="Y3" s="12" t="s">
        <v>106</v>
      </c>
      <c r="Z3" s="74" t="s">
        <v>80</v>
      </c>
      <c r="AA3" s="101" t="s">
        <v>106</v>
      </c>
      <c r="AB3" s="102" t="s">
        <v>80</v>
      </c>
      <c r="AC3" s="85" t="s">
        <v>106</v>
      </c>
      <c r="AD3" s="86" t="s">
        <v>80</v>
      </c>
      <c r="AE3" s="212"/>
      <c r="AF3" s="64"/>
      <c r="AI3" s="606"/>
      <c r="AJ3" s="35"/>
      <c r="AK3" s="604"/>
      <c r="AL3" s="5"/>
    </row>
    <row r="4" spans="1:38" s="1" customFormat="1">
      <c r="C4" s="54">
        <v>0</v>
      </c>
      <c r="D4" s="17"/>
      <c r="E4" s="54">
        <v>0</v>
      </c>
      <c r="F4" s="75"/>
      <c r="G4" s="54">
        <v>0</v>
      </c>
      <c r="H4" s="75"/>
      <c r="I4" s="54">
        <v>0</v>
      </c>
      <c r="J4" s="75"/>
      <c r="K4" s="21">
        <v>0</v>
      </c>
      <c r="L4" s="75"/>
      <c r="M4" s="21">
        <v>0</v>
      </c>
      <c r="N4" s="75"/>
      <c r="O4" s="21">
        <v>0</v>
      </c>
      <c r="P4" s="75"/>
      <c r="Q4" s="5">
        <v>0</v>
      </c>
      <c r="R4" s="75"/>
      <c r="S4" s="5">
        <v>0</v>
      </c>
      <c r="T4" s="75"/>
      <c r="U4" s="54">
        <v>0</v>
      </c>
      <c r="V4" s="75"/>
      <c r="W4" s="5">
        <v>0</v>
      </c>
      <c r="X4" s="75"/>
      <c r="Y4" s="54">
        <v>0</v>
      </c>
      <c r="Z4" s="75"/>
      <c r="AA4" s="103"/>
      <c r="AB4" s="104"/>
      <c r="AC4" s="87"/>
      <c r="AD4" s="88"/>
      <c r="AE4" s="160"/>
      <c r="AF4" s="64"/>
      <c r="AI4" s="269"/>
      <c r="AJ4" s="134"/>
      <c r="AK4" s="267"/>
      <c r="AL4" s="5"/>
    </row>
    <row r="5" spans="1:38" s="5" customFormat="1">
      <c r="A5" s="6">
        <v>5004</v>
      </c>
      <c r="B5" s="16" t="s">
        <v>71</v>
      </c>
      <c r="C5" s="569">
        <f>205811+C9</f>
        <v>286077.33623574988</v>
      </c>
      <c r="D5" s="302"/>
      <c r="E5" s="570">
        <f>160121.351500688+E9</f>
        <v>211360.18398090819</v>
      </c>
      <c r="F5" s="302"/>
      <c r="G5" s="571">
        <f>265605.710308666+G9</f>
        <v>385128.27994756587</v>
      </c>
      <c r="H5" s="302"/>
      <c r="I5" s="572">
        <f>234528.319246057+I9</f>
        <v>318958.51417463768</v>
      </c>
      <c r="J5" s="302"/>
      <c r="K5" s="573">
        <f>214500.039555687+K9</f>
        <v>270270.04984016559</v>
      </c>
      <c r="L5" s="302"/>
      <c r="M5" s="574">
        <f>304158.086289518+M9</f>
        <v>425821.32080532523</v>
      </c>
      <c r="N5" s="302"/>
      <c r="O5" s="575">
        <f>192565.684505881+O9</f>
        <v>269591.95830823347</v>
      </c>
      <c r="P5" s="302"/>
      <c r="Q5" s="576">
        <f>239116.328020703+Q9</f>
        <v>332371.69594877702</v>
      </c>
      <c r="R5" s="302"/>
      <c r="S5" s="577">
        <f>240880.833349288+S9</f>
        <v>313145.08335407439</v>
      </c>
      <c r="T5" s="302"/>
      <c r="U5" s="578">
        <f>191068.24978767+U9</f>
        <v>259852.81971123128</v>
      </c>
      <c r="V5" s="302"/>
      <c r="W5" s="579">
        <f>194400.772268449+W9</f>
        <v>231336.9189994543</v>
      </c>
      <c r="X5" s="302"/>
      <c r="Y5" s="580">
        <f>293674.147587397+Y9</f>
        <v>393523.35776711209</v>
      </c>
      <c r="Z5" s="126">
        <v>1</v>
      </c>
      <c r="AA5" s="105">
        <f t="shared" ref="AA5:AA11" si="0">C5+E5+G5+I5+K5+M5+O5+Q5+S5+U5+W5+Y5</f>
        <v>3697437.5190732353</v>
      </c>
      <c r="AB5" s="126">
        <v>1</v>
      </c>
      <c r="AC5" s="89">
        <f>AA5/12</f>
        <v>308119.79325610294</v>
      </c>
      <c r="AD5" s="126">
        <v>1</v>
      </c>
      <c r="AE5" s="217" t="s">
        <v>172</v>
      </c>
      <c r="AF5" s="221" t="s">
        <v>106</v>
      </c>
      <c r="AG5" s="204" t="s">
        <v>171</v>
      </c>
      <c r="AH5" s="127"/>
      <c r="AI5" s="269"/>
      <c r="AJ5" s="260">
        <f>C5*5.09+E5*5.09+G5*5.09+I5*5.09+K5*5.09+M5*5.09+O5*5.09+Q5*5.09+S5*5.09+U5*5.09+W5*5.09+Y5*5.09</f>
        <v>18819956.972082764</v>
      </c>
      <c r="AK5" s="268"/>
      <c r="AL5" s="5" t="s">
        <v>253</v>
      </c>
    </row>
    <row r="6" spans="1:38" s="1" customFormat="1">
      <c r="A6" s="1">
        <v>5005</v>
      </c>
      <c r="B6" s="1" t="s">
        <v>67</v>
      </c>
      <c r="C6" s="55"/>
      <c r="D6" s="68"/>
      <c r="E6" s="55"/>
      <c r="F6" s="68"/>
      <c r="G6" s="55"/>
      <c r="H6" s="68"/>
      <c r="I6" s="55"/>
      <c r="J6" s="68"/>
      <c r="K6" s="21"/>
      <c r="L6" s="68"/>
      <c r="M6" s="265"/>
      <c r="N6" s="67"/>
      <c r="O6" s="25"/>
      <c r="P6" s="68"/>
      <c r="Q6" s="36"/>
      <c r="R6" s="68"/>
      <c r="S6" s="37"/>
      <c r="T6" s="68"/>
      <c r="U6" s="36"/>
      <c r="V6" s="68"/>
      <c r="W6" s="36"/>
      <c r="X6" s="68"/>
      <c r="Y6" s="37"/>
      <c r="Z6" s="68"/>
      <c r="AA6" s="105">
        <f t="shared" si="0"/>
        <v>0</v>
      </c>
      <c r="AB6" s="107"/>
      <c r="AC6" s="89">
        <f t="shared" ref="AC6:AC11" si="1">AA6/12</f>
        <v>0</v>
      </c>
      <c r="AD6" s="91"/>
      <c r="AE6" s="213"/>
      <c r="AF6" s="64"/>
      <c r="AI6" s="269"/>
      <c r="AJ6" s="260">
        <f>C6*5.09+E6*5.09+G6*5.09+I6*5.09+K6*5.09+M6*5.09+O6*5.09+Q6*5.09+S6*5.09+U6*5.09+W6*5.09+Y6*5.09</f>
        <v>0</v>
      </c>
      <c r="AK6" s="268"/>
      <c r="AL6" s="54"/>
    </row>
    <row r="7" spans="1:38" s="1" customFormat="1">
      <c r="A7" s="14">
        <v>5051</v>
      </c>
      <c r="B7" s="15" t="s">
        <v>74</v>
      </c>
      <c r="C7" s="55"/>
      <c r="D7" s="49">
        <f>C7/C$5</f>
        <v>0</v>
      </c>
      <c r="E7" s="55"/>
      <c r="F7" s="49">
        <f>E7/E$5</f>
        <v>0</v>
      </c>
      <c r="G7" s="289"/>
      <c r="H7" s="49">
        <f>G7/G$5</f>
        <v>0</v>
      </c>
      <c r="I7" s="55"/>
      <c r="J7" s="49">
        <f>I7/I$5</f>
        <v>0</v>
      </c>
      <c r="K7" s="55"/>
      <c r="L7" s="49">
        <f>K7/K$5</f>
        <v>0</v>
      </c>
      <c r="M7" s="55"/>
      <c r="N7" s="49">
        <f>M7/M$5</f>
        <v>0</v>
      </c>
      <c r="O7" s="55"/>
      <c r="P7" s="49">
        <f>O7/O$5</f>
        <v>0</v>
      </c>
      <c r="Q7" s="55"/>
      <c r="R7" s="49">
        <f>Q7/Q$5</f>
        <v>0</v>
      </c>
      <c r="S7" s="55"/>
      <c r="T7" s="49">
        <f>S7/S$5</f>
        <v>0</v>
      </c>
      <c r="U7" s="36"/>
      <c r="V7" s="49">
        <f>U7/U$5</f>
        <v>0</v>
      </c>
      <c r="W7" s="36"/>
      <c r="X7" s="49">
        <f>W7/W$5</f>
        <v>0</v>
      </c>
      <c r="Y7" s="36"/>
      <c r="Z7" s="49">
        <f>Y7/Y$5</f>
        <v>0</v>
      </c>
      <c r="AA7" s="105">
        <f t="shared" si="0"/>
        <v>0</v>
      </c>
      <c r="AB7" s="108">
        <f>AA7/AA$5</f>
        <v>0</v>
      </c>
      <c r="AC7" s="89">
        <f t="shared" si="1"/>
        <v>0</v>
      </c>
      <c r="AD7" s="92">
        <f>AC7/AC$5</f>
        <v>0</v>
      </c>
      <c r="AE7" s="214"/>
      <c r="AF7" s="64"/>
      <c r="AI7" s="269"/>
      <c r="AJ7" s="260">
        <f>C7*5.09+E7*5.09+G7*5.09+I7*5.09+K7*5.09+M7*5.09+O7*5.09+Q7*5.09+S7*5.09+U7*5.09+W7*5.09+Y7*5.09</f>
        <v>0</v>
      </c>
      <c r="AK7" s="268"/>
      <c r="AL7" s="54"/>
    </row>
    <row r="8" spans="1:38" s="1" customFormat="1">
      <c r="A8" s="1">
        <v>5052</v>
      </c>
      <c r="B8" s="1" t="s">
        <v>90</v>
      </c>
      <c r="C8" s="55"/>
      <c r="D8" s="49">
        <f>C8/C$5</f>
        <v>0</v>
      </c>
      <c r="E8" s="55"/>
      <c r="F8" s="49">
        <f t="shared" ref="F8:F11" si="2">E8/E$5</f>
        <v>0</v>
      </c>
      <c r="G8" s="55"/>
      <c r="H8" s="49">
        <f t="shared" ref="H8:H11" si="3">G8/G$5</f>
        <v>0</v>
      </c>
      <c r="I8" s="55"/>
      <c r="J8" s="49">
        <f t="shared" ref="J8:J11" si="4">I8/I$5</f>
        <v>0</v>
      </c>
      <c r="K8" s="55"/>
      <c r="L8" s="49">
        <f t="shared" ref="L8:L11" si="5">K8/K$5</f>
        <v>0</v>
      </c>
      <c r="M8" s="55"/>
      <c r="N8" s="49">
        <f t="shared" ref="N8:N11" si="6">M8/M$5</f>
        <v>0</v>
      </c>
      <c r="O8" s="55"/>
      <c r="P8" s="49">
        <f t="shared" ref="P8:P11" si="7">O8/O$5</f>
        <v>0</v>
      </c>
      <c r="Q8" s="55"/>
      <c r="R8" s="49">
        <f t="shared" ref="R8:R11" si="8">Q8/Q$5</f>
        <v>0</v>
      </c>
      <c r="S8" s="55"/>
      <c r="T8" s="49">
        <f t="shared" ref="T8:T11" si="9">S8/S$5</f>
        <v>0</v>
      </c>
      <c r="U8" s="55"/>
      <c r="V8" s="49">
        <f t="shared" ref="V8:V11" si="10">U8/U$5</f>
        <v>0</v>
      </c>
      <c r="W8" s="55"/>
      <c r="X8" s="49">
        <f t="shared" ref="X8:X11" si="11">W8/W$5</f>
        <v>0</v>
      </c>
      <c r="Y8" s="55"/>
      <c r="Z8" s="49">
        <f t="shared" ref="Z8:Z11" si="12">Y8/Y$5</f>
        <v>0</v>
      </c>
      <c r="AA8" s="105">
        <f t="shared" si="0"/>
        <v>0</v>
      </c>
      <c r="AB8" s="108">
        <f t="shared" ref="AB8:AB11" si="13">AA8/AA$5</f>
        <v>0</v>
      </c>
      <c r="AC8" s="89">
        <f t="shared" si="1"/>
        <v>0</v>
      </c>
      <c r="AD8" s="92">
        <f t="shared" ref="AD8:AD11" si="14">AC8/AC$5</f>
        <v>0</v>
      </c>
      <c r="AE8" s="214"/>
      <c r="AF8" s="54"/>
      <c r="AI8" s="269"/>
      <c r="AJ8" s="260">
        <f>C8*5.09+E8*5.09+G8*5.09+I8*5.09+K8*5.09+M8*5.09+O8*5.09+Q8*5.09+S8*5.09+U8*5.09+W8*5.09+Y8*5.09</f>
        <v>0</v>
      </c>
      <c r="AK8" s="268"/>
      <c r="AL8" s="54"/>
    </row>
    <row r="9" spans="1:38" s="1" customFormat="1">
      <c r="A9" s="1">
        <v>5101</v>
      </c>
      <c r="B9" s="1" t="s">
        <v>46</v>
      </c>
      <c r="C9" s="55">
        <v>80266.33623574987</v>
      </c>
      <c r="D9" s="49">
        <f>C9/C$5</f>
        <v>0.28057565584155253</v>
      </c>
      <c r="E9" s="55">
        <v>51238.832480220197</v>
      </c>
      <c r="F9" s="49">
        <f>E9/E$5</f>
        <v>0.24242424242424257</v>
      </c>
      <c r="G9" s="289">
        <v>119522.56963889988</v>
      </c>
      <c r="H9" s="49">
        <f>G9/G$5</f>
        <v>0.31034482758620724</v>
      </c>
      <c r="I9" s="55">
        <v>84430.194928580677</v>
      </c>
      <c r="J9" s="49">
        <f>I9/I$5</f>
        <v>0.26470588235294151</v>
      </c>
      <c r="K9" s="25">
        <v>55770.010284478587</v>
      </c>
      <c r="L9" s="49">
        <f>K9/K$5</f>
        <v>0.20634920634920625</v>
      </c>
      <c r="M9" s="25">
        <v>121663.23451580724</v>
      </c>
      <c r="N9" s="49">
        <f>M9/M$5</f>
        <v>0.28571428571428581</v>
      </c>
      <c r="O9" s="25">
        <v>77026.273802352458</v>
      </c>
      <c r="P9" s="49">
        <f>O9/O$5</f>
        <v>0.28571428571428586</v>
      </c>
      <c r="Q9" s="55">
        <v>93255.367928074047</v>
      </c>
      <c r="R9" s="49">
        <f>Q9/Q$5</f>
        <v>0.28057553956834508</v>
      </c>
      <c r="S9" s="36">
        <v>72264.250004786401</v>
      </c>
      <c r="T9" s="49">
        <f>S9/S$5</f>
        <v>0.23076923076923078</v>
      </c>
      <c r="U9" s="36">
        <v>68784.569923561256</v>
      </c>
      <c r="V9" s="49">
        <f>U9/U$5</f>
        <v>0.26470588235294129</v>
      </c>
      <c r="W9" s="55">
        <v>36936.146731005298</v>
      </c>
      <c r="X9" s="49">
        <f>W9/W$5</f>
        <v>0.15966386554621845</v>
      </c>
      <c r="Y9" s="36">
        <v>99849.210179715039</v>
      </c>
      <c r="Z9" s="49">
        <f>Y9/Y$5</f>
        <v>0.25373134328358216</v>
      </c>
      <c r="AA9" s="105">
        <f t="shared" si="0"/>
        <v>961006.99665323109</v>
      </c>
      <c r="AB9" s="108">
        <f t="shared" si="13"/>
        <v>0.25991162573968474</v>
      </c>
      <c r="AC9" s="89">
        <f t="shared" si="1"/>
        <v>80083.916387769263</v>
      </c>
      <c r="AD9" s="92">
        <f t="shared" si="14"/>
        <v>0.25991162573968474</v>
      </c>
      <c r="AE9" s="214"/>
      <c r="AF9" s="54"/>
      <c r="AI9" s="269"/>
      <c r="AJ9" s="260">
        <f>C9*5.09+E9*5.09+G9*5.09+I9*5.09+K9*5.09+M9*5.09+O9*5.09+Q9*5.09+S9*5.09+U9*5.09+W9*5.09+Y9*5.09</f>
        <v>4891525.6129649458</v>
      </c>
      <c r="AK9" s="268" t="s">
        <v>205</v>
      </c>
      <c r="AL9" s="54"/>
    </row>
    <row r="10" spans="1:38" s="1" customFormat="1">
      <c r="A10" s="1">
        <v>5102</v>
      </c>
      <c r="B10" s="1" t="s">
        <v>196</v>
      </c>
      <c r="C10" s="55"/>
      <c r="D10" s="49">
        <f>C10/C$5</f>
        <v>0</v>
      </c>
      <c r="E10" s="55"/>
      <c r="F10" s="49"/>
      <c r="G10" s="55"/>
      <c r="H10" s="49"/>
      <c r="I10" s="55"/>
      <c r="J10" s="49">
        <f t="shared" si="4"/>
        <v>0</v>
      </c>
      <c r="K10" s="21"/>
      <c r="L10" s="49">
        <f t="shared" si="5"/>
        <v>0</v>
      </c>
      <c r="M10" s="55"/>
      <c r="N10" s="49">
        <f t="shared" si="6"/>
        <v>0</v>
      </c>
      <c r="O10" s="55"/>
      <c r="P10" s="49">
        <f t="shared" si="7"/>
        <v>0</v>
      </c>
      <c r="Q10" s="21"/>
      <c r="R10" s="49">
        <f t="shared" si="8"/>
        <v>0</v>
      </c>
      <c r="S10" s="37"/>
      <c r="T10" s="49">
        <f t="shared" si="9"/>
        <v>0</v>
      </c>
      <c r="U10" s="37"/>
      <c r="V10" s="49">
        <f t="shared" si="10"/>
        <v>0</v>
      </c>
      <c r="W10" s="37"/>
      <c r="X10" s="49">
        <f t="shared" si="11"/>
        <v>0</v>
      </c>
      <c r="Y10" s="37"/>
      <c r="Z10" s="49">
        <f t="shared" si="12"/>
        <v>0</v>
      </c>
      <c r="AA10" s="105">
        <f t="shared" si="0"/>
        <v>0</v>
      </c>
      <c r="AB10" s="108">
        <f t="shared" si="13"/>
        <v>0</v>
      </c>
      <c r="AC10" s="89">
        <f t="shared" si="1"/>
        <v>0</v>
      </c>
      <c r="AD10" s="92">
        <f t="shared" si="14"/>
        <v>0</v>
      </c>
      <c r="AE10" s="214"/>
      <c r="AF10" s="54"/>
      <c r="AI10" s="269"/>
      <c r="AJ10" s="260"/>
      <c r="AK10" s="268"/>
      <c r="AL10" s="54"/>
    </row>
    <row r="11" spans="1:38" s="1" customFormat="1">
      <c r="A11" s="1">
        <v>5103</v>
      </c>
      <c r="B11" s="1" t="s">
        <v>63</v>
      </c>
      <c r="C11" s="46"/>
      <c r="D11" s="49">
        <f>C11/C$5</f>
        <v>0</v>
      </c>
      <c r="E11" s="61"/>
      <c r="F11" s="49">
        <f t="shared" si="2"/>
        <v>0</v>
      </c>
      <c r="G11" s="46"/>
      <c r="H11" s="49">
        <f t="shared" si="3"/>
        <v>0</v>
      </c>
      <c r="I11" s="46"/>
      <c r="J11" s="49">
        <f t="shared" si="4"/>
        <v>0</v>
      </c>
      <c r="K11" s="21"/>
      <c r="L11" s="49">
        <f t="shared" si="5"/>
        <v>0</v>
      </c>
      <c r="M11" s="21"/>
      <c r="N11" s="49">
        <f t="shared" si="6"/>
        <v>0</v>
      </c>
      <c r="O11" s="21"/>
      <c r="P11" s="49">
        <f t="shared" si="7"/>
        <v>0</v>
      </c>
      <c r="Q11" s="37">
        <v>0</v>
      </c>
      <c r="R11" s="49">
        <f t="shared" si="8"/>
        <v>0</v>
      </c>
      <c r="S11" s="37"/>
      <c r="T11" s="49">
        <f t="shared" si="9"/>
        <v>0</v>
      </c>
      <c r="U11" s="37"/>
      <c r="V11" s="49">
        <f t="shared" si="10"/>
        <v>0</v>
      </c>
      <c r="W11" s="37"/>
      <c r="X11" s="49">
        <f t="shared" si="11"/>
        <v>0</v>
      </c>
      <c r="Y11" s="37"/>
      <c r="Z11" s="49">
        <f t="shared" si="12"/>
        <v>0</v>
      </c>
      <c r="AA11" s="105">
        <f t="shared" si="0"/>
        <v>0</v>
      </c>
      <c r="AB11" s="108">
        <f t="shared" si="13"/>
        <v>0</v>
      </c>
      <c r="AC11" s="89">
        <f t="shared" si="1"/>
        <v>0</v>
      </c>
      <c r="AD11" s="92">
        <f t="shared" si="14"/>
        <v>0</v>
      </c>
      <c r="AE11" s="213"/>
      <c r="AF11" s="54"/>
      <c r="AI11" s="269"/>
      <c r="AJ11" s="260">
        <f t="shared" ref="AJ11:AJ80" si="15">C11*5.09+E11*5.09+G11*5.09+I11*5.09+K11*5.09+M11*5.09+O11*5.09+Q11*5.09+S11*5.09+U11*5.09+W11*5.09+Y11*5.09</f>
        <v>0</v>
      </c>
      <c r="AK11" s="268"/>
      <c r="AL11" s="54"/>
    </row>
    <row r="12" spans="1:38" s="1" customFormat="1" ht="15.75" thickBot="1">
      <c r="A12" s="7">
        <v>5149</v>
      </c>
      <c r="B12" s="7" t="s">
        <v>66</v>
      </c>
      <c r="C12" s="56">
        <f>C5+C6-C7-C8-C9-C10+C11</f>
        <v>205811</v>
      </c>
      <c r="D12" s="257">
        <f>C12/C12</f>
        <v>1</v>
      </c>
      <c r="E12" s="56">
        <f>E5+E6-E7-E8-E9-E10+E11</f>
        <v>160121.351500688</v>
      </c>
      <c r="F12" s="257">
        <f>E12/E12</f>
        <v>1</v>
      </c>
      <c r="G12" s="56">
        <f>G5+G6-G7-G8-G9-G10+G11</f>
        <v>265605.71030866599</v>
      </c>
      <c r="H12" s="71">
        <f>G12/G12</f>
        <v>1</v>
      </c>
      <c r="I12" s="56">
        <f>I5+I6-I7-I8-I9-I10+I11</f>
        <v>234528.31924605701</v>
      </c>
      <c r="J12" s="257">
        <f>I12/I12</f>
        <v>1</v>
      </c>
      <c r="K12" s="56">
        <f>K5+K6-K7-K8-K9-K10+K11</f>
        <v>214500.03955568699</v>
      </c>
      <c r="L12" s="257">
        <f>K12/K12</f>
        <v>1</v>
      </c>
      <c r="M12" s="56">
        <f>M5+M6-M7-M8-M9-M10+M11</f>
        <v>304158.08628951799</v>
      </c>
      <c r="N12" s="257">
        <f>M12/M12</f>
        <v>1</v>
      </c>
      <c r="O12" s="56">
        <f>O5+O6-O7-O8-O9-O10+O11</f>
        <v>192565.68450588101</v>
      </c>
      <c r="P12" s="257">
        <f>O12/O12</f>
        <v>1</v>
      </c>
      <c r="Q12" s="56">
        <f>Q5+Q6-Q7-Q8-Q9-Q10+Q11</f>
        <v>239116.32802070299</v>
      </c>
      <c r="R12" s="257">
        <f>Q12/Q12</f>
        <v>1</v>
      </c>
      <c r="S12" s="56">
        <f>S5+S6-S7-S8-S9-S10+S11</f>
        <v>240880.83334928798</v>
      </c>
      <c r="T12" s="257">
        <f>S12/S12</f>
        <v>1</v>
      </c>
      <c r="U12" s="56">
        <f>U5+U6-U7-U8-U9-U10+U11</f>
        <v>191068.24978767004</v>
      </c>
      <c r="V12" s="71">
        <f>U12/U12</f>
        <v>1</v>
      </c>
      <c r="W12" s="56">
        <f>W5+W6-W7-W8-W9-W10+W11</f>
        <v>194400.77226844901</v>
      </c>
      <c r="X12" s="71">
        <f>W12/W12</f>
        <v>1</v>
      </c>
      <c r="Y12" s="56">
        <f>Y5+Y6-Y7-Y8-Y9-Y10+Y11</f>
        <v>293674.14758739702</v>
      </c>
      <c r="Z12" s="71">
        <f>Y12/Y12</f>
        <v>1</v>
      </c>
      <c r="AA12" s="109">
        <f>AA5+AA6-AA7-AA8-AA9-AA10+AA11</f>
        <v>2736430.522420004</v>
      </c>
      <c r="AB12" s="110">
        <f>AA12/AA12</f>
        <v>1</v>
      </c>
      <c r="AC12" s="93">
        <f>AC5+AC6-AC7-AC8-AC9-AC10+AC11</f>
        <v>228035.87686833367</v>
      </c>
      <c r="AD12" s="94">
        <f>AC12/AC12</f>
        <v>1</v>
      </c>
      <c r="AE12" s="218" t="s">
        <v>173</v>
      </c>
      <c r="AF12" s="219">
        <v>342108</v>
      </c>
      <c r="AG12" s="209" t="s">
        <v>174</v>
      </c>
      <c r="AH12" s="65">
        <f>(AC5-AF12)/AF12*100</f>
        <v>-9.9349347995068982</v>
      </c>
      <c r="AI12" s="269"/>
      <c r="AJ12" s="260">
        <f t="shared" si="15"/>
        <v>13928431.359117821</v>
      </c>
      <c r="AK12" s="268"/>
      <c r="AL12" s="54"/>
    </row>
    <row r="13" spans="1:38" s="1" customFormat="1" ht="15.75" thickTop="1">
      <c r="A13" s="1">
        <v>5151</v>
      </c>
      <c r="B13" s="1" t="s">
        <v>47</v>
      </c>
      <c r="C13" s="46"/>
      <c r="D13" s="68"/>
      <c r="E13" s="46"/>
      <c r="F13" s="68"/>
      <c r="G13" s="46"/>
      <c r="H13" s="68"/>
      <c r="I13" s="46"/>
      <c r="J13" s="68"/>
      <c r="K13" s="21"/>
      <c r="L13" s="68"/>
      <c r="M13" s="21"/>
      <c r="N13" s="68"/>
      <c r="O13" s="21"/>
      <c r="P13" s="68"/>
      <c r="Q13" s="37"/>
      <c r="R13" s="68"/>
      <c r="S13" s="37"/>
      <c r="T13" s="68"/>
      <c r="U13" s="37"/>
      <c r="V13" s="68"/>
      <c r="W13" s="37"/>
      <c r="X13" s="68"/>
      <c r="Y13" s="37"/>
      <c r="Z13" s="68"/>
      <c r="AA13" s="105">
        <f>C13+E13+G13+I13+K13+M13+O13+Q13+S13+U13+W13+Y13</f>
        <v>0</v>
      </c>
      <c r="AB13" s="107"/>
      <c r="AC13" s="89">
        <f t="shared" ref="AC13:AC14" si="16">AA13/12</f>
        <v>0</v>
      </c>
      <c r="AD13" s="91"/>
      <c r="AE13" s="213"/>
      <c r="AF13" s="54"/>
      <c r="AI13" s="269"/>
      <c r="AJ13" s="260">
        <f t="shared" si="15"/>
        <v>0</v>
      </c>
      <c r="AK13" s="268"/>
      <c r="AL13" s="54"/>
    </row>
    <row r="14" spans="1:38" s="1" customFormat="1">
      <c r="A14" s="1">
        <v>5152</v>
      </c>
      <c r="B14" s="1" t="s">
        <v>48</v>
      </c>
      <c r="C14" s="46"/>
      <c r="D14" s="68"/>
      <c r="E14" s="46"/>
      <c r="F14" s="68"/>
      <c r="G14" s="46"/>
      <c r="H14" s="68"/>
      <c r="I14" s="46"/>
      <c r="J14" s="68"/>
      <c r="K14" s="21"/>
      <c r="L14" s="68"/>
      <c r="M14" s="21"/>
      <c r="N14" s="68"/>
      <c r="O14" s="21"/>
      <c r="P14" s="68"/>
      <c r="Q14" s="37"/>
      <c r="R14" s="68"/>
      <c r="S14" s="37"/>
      <c r="T14" s="68"/>
      <c r="U14" s="37"/>
      <c r="V14" s="68"/>
      <c r="W14" s="37"/>
      <c r="X14" s="68"/>
      <c r="Y14" s="37"/>
      <c r="Z14" s="68"/>
      <c r="AA14" s="105">
        <f>C14+E14+G14+I14+K14+M14+O14+Q14+S14+U14+W14+Y14</f>
        <v>0</v>
      </c>
      <c r="AB14" s="107"/>
      <c r="AC14" s="89">
        <f t="shared" si="16"/>
        <v>0</v>
      </c>
      <c r="AD14" s="91"/>
      <c r="AE14" s="213"/>
      <c r="AF14" s="54"/>
      <c r="AI14" s="269"/>
      <c r="AJ14" s="260">
        <f t="shared" si="15"/>
        <v>0</v>
      </c>
      <c r="AK14" s="268"/>
      <c r="AL14" s="54"/>
    </row>
    <row r="15" spans="1:38" s="1" customFormat="1" ht="15.75" thickBot="1">
      <c r="A15" s="39">
        <v>5198</v>
      </c>
      <c r="B15" s="39" t="s">
        <v>107</v>
      </c>
      <c r="C15" s="57"/>
      <c r="D15" s="72"/>
      <c r="E15" s="57"/>
      <c r="F15" s="72"/>
      <c r="G15" s="57"/>
      <c r="H15" s="72"/>
      <c r="I15" s="57"/>
      <c r="J15" s="72"/>
      <c r="K15" s="187"/>
      <c r="L15" s="72"/>
      <c r="M15" s="187">
        <f>M13+M14</f>
        <v>0</v>
      </c>
      <c r="N15" s="72"/>
      <c r="O15" s="187">
        <f>O13+O14</f>
        <v>0</v>
      </c>
      <c r="P15" s="72"/>
      <c r="Q15" s="40">
        <f>Q13+Q14</f>
        <v>0</v>
      </c>
      <c r="R15" s="72"/>
      <c r="S15" s="40">
        <f>S13+S14</f>
        <v>0</v>
      </c>
      <c r="T15" s="72"/>
      <c r="U15" s="40">
        <f>U13+U14</f>
        <v>0</v>
      </c>
      <c r="V15" s="72"/>
      <c r="W15" s="40">
        <f>W13+W14</f>
        <v>0</v>
      </c>
      <c r="X15" s="72"/>
      <c r="Y15" s="40">
        <f>Y13+Y14</f>
        <v>0</v>
      </c>
      <c r="Z15" s="72"/>
      <c r="AA15" s="109">
        <f>AA13+AA14</f>
        <v>0</v>
      </c>
      <c r="AB15" s="111"/>
      <c r="AC15" s="93">
        <f>AC13+AC14</f>
        <v>0</v>
      </c>
      <c r="AD15" s="95"/>
      <c r="AE15" s="213"/>
      <c r="AF15" s="54"/>
      <c r="AI15" s="269"/>
      <c r="AJ15" s="260">
        <f t="shared" si="15"/>
        <v>0</v>
      </c>
      <c r="AK15" s="268"/>
      <c r="AL15" s="54"/>
    </row>
    <row r="16" spans="1:38" s="1" customFormat="1" ht="16.5" thickTop="1" thickBot="1">
      <c r="A16" s="41">
        <v>5199</v>
      </c>
      <c r="B16" s="41" t="s">
        <v>70</v>
      </c>
      <c r="C16" s="188">
        <f>C12+C15</f>
        <v>205811</v>
      </c>
      <c r="D16" s="73">
        <f>C16/C12</f>
        <v>1</v>
      </c>
      <c r="E16" s="188">
        <f>E12+E15</f>
        <v>160121.351500688</v>
      </c>
      <c r="F16" s="73">
        <f>E16/E12</f>
        <v>1</v>
      </c>
      <c r="G16" s="188">
        <f>G12+G15</f>
        <v>265605.71030866599</v>
      </c>
      <c r="H16" s="73">
        <f>G16/G12</f>
        <v>1</v>
      </c>
      <c r="I16" s="188">
        <f>I12+I15</f>
        <v>234528.31924605701</v>
      </c>
      <c r="J16" s="73">
        <f>I16/I12</f>
        <v>1</v>
      </c>
      <c r="K16" s="188">
        <f>K12+K15</f>
        <v>214500.03955568699</v>
      </c>
      <c r="L16" s="73">
        <f>K16/K12</f>
        <v>1</v>
      </c>
      <c r="M16" s="188">
        <f>M12+M15</f>
        <v>304158.08628951799</v>
      </c>
      <c r="N16" s="73">
        <f>M16/M12</f>
        <v>1</v>
      </c>
      <c r="O16" s="188">
        <f>O12+O15</f>
        <v>192565.68450588101</v>
      </c>
      <c r="P16" s="73">
        <f>O16/O12</f>
        <v>1</v>
      </c>
      <c r="Q16" s="42">
        <f>Q12+Q15</f>
        <v>239116.32802070299</v>
      </c>
      <c r="R16" s="73">
        <f>Q16/Q12</f>
        <v>1</v>
      </c>
      <c r="S16" s="42">
        <f>S12+S15</f>
        <v>240880.83334928798</v>
      </c>
      <c r="T16" s="73">
        <f>S16/S12</f>
        <v>1</v>
      </c>
      <c r="U16" s="42">
        <f>U12+U15</f>
        <v>191068.24978767004</v>
      </c>
      <c r="V16" s="73">
        <f>U16/U12</f>
        <v>1</v>
      </c>
      <c r="W16" s="42">
        <f>W12+W15</f>
        <v>194400.77226844901</v>
      </c>
      <c r="X16" s="73">
        <f>W16/W12</f>
        <v>1</v>
      </c>
      <c r="Y16" s="42">
        <f>Y12+Y15</f>
        <v>293674.14758739702</v>
      </c>
      <c r="Z16" s="73">
        <f>Y16/Y12</f>
        <v>1</v>
      </c>
      <c r="AA16" s="112">
        <f>AA12+AA15</f>
        <v>2736430.522420004</v>
      </c>
      <c r="AB16" s="113">
        <f>AA16/AA12</f>
        <v>1</v>
      </c>
      <c r="AC16" s="96">
        <f>AC12+AC15</f>
        <v>228035.87686833367</v>
      </c>
      <c r="AD16" s="97">
        <f>AC16/AC12</f>
        <v>1</v>
      </c>
      <c r="AE16" s="218" t="s">
        <v>173</v>
      </c>
      <c r="AF16" s="220">
        <v>0.52810000000000001</v>
      </c>
      <c r="AG16" s="209" t="s">
        <v>175</v>
      </c>
      <c r="AI16" s="269"/>
      <c r="AJ16" s="260">
        <f t="shared" si="15"/>
        <v>13928431.359117821</v>
      </c>
      <c r="AK16" s="268"/>
      <c r="AL16" s="54"/>
    </row>
    <row r="17" spans="1:38" s="1" customFormat="1" ht="15.75" thickTop="1">
      <c r="A17" s="13">
        <v>5502</v>
      </c>
      <c r="B17" s="5" t="s">
        <v>49</v>
      </c>
      <c r="C17" s="189">
        <f>C12*51.11%</f>
        <v>105190.0021</v>
      </c>
      <c r="D17" s="49">
        <f>C17/C12</f>
        <v>0.5111</v>
      </c>
      <c r="E17" s="189">
        <f>E12*51.3%</f>
        <v>82142.253319852942</v>
      </c>
      <c r="F17" s="49">
        <f>E17/E12</f>
        <v>0.51300000000000001</v>
      </c>
      <c r="G17" s="189">
        <f>G12*55.54%</f>
        <v>147517.41150543309</v>
      </c>
      <c r="H17" s="49">
        <f>G17/G12</f>
        <v>0.5554</v>
      </c>
      <c r="I17" s="189">
        <f>I12*52.58%</f>
        <v>123314.99025957676</v>
      </c>
      <c r="J17" s="49">
        <f>I17/I12</f>
        <v>0.52579999999999993</v>
      </c>
      <c r="K17" s="189">
        <f>K12*45.34%</f>
        <v>97254.317934548482</v>
      </c>
      <c r="L17" s="49">
        <f>K17/K12</f>
        <v>0.45340000000000003</v>
      </c>
      <c r="M17" s="189">
        <f>M12*54.27%</f>
        <v>165066.59342932142</v>
      </c>
      <c r="N17" s="49">
        <f>M17/M12</f>
        <v>0.54270000000000007</v>
      </c>
      <c r="O17" s="189">
        <f>O12*52.4%</f>
        <v>100904.41868108166</v>
      </c>
      <c r="P17" s="49">
        <f>O17/O12</f>
        <v>0.52400000000000002</v>
      </c>
      <c r="Q17" s="189">
        <f>Q12*57.95%</f>
        <v>138567.91208799739</v>
      </c>
      <c r="R17" s="49">
        <f>Q17/Q12</f>
        <v>0.57950000000000002</v>
      </c>
      <c r="S17" s="189">
        <f>S12*47.95%</f>
        <v>115502.3595909836</v>
      </c>
      <c r="T17" s="49">
        <f>S17/S12</f>
        <v>0.47950000000000009</v>
      </c>
      <c r="U17" s="189">
        <f>U12*47.44%</f>
        <v>90642.777699270664</v>
      </c>
      <c r="V17" s="49">
        <f>U17/U12</f>
        <v>0.47439999999999999</v>
      </c>
      <c r="W17" s="189">
        <f>W12*46.75%</f>
        <v>90882.361035499925</v>
      </c>
      <c r="X17" s="49">
        <f>W17/W12</f>
        <v>0.46750000000000008</v>
      </c>
      <c r="Y17" s="189">
        <f>Y12*51.23%</f>
        <v>150449.26580902349</v>
      </c>
      <c r="Z17" s="49">
        <f>Y17/Y12</f>
        <v>0.51229999999999998</v>
      </c>
      <c r="AA17" s="105">
        <f>C17+E17+G17+I17+K17+M17+O17+Q17+S17+U17+W17+Y17</f>
        <v>1407434.6634525894</v>
      </c>
      <c r="AB17" s="108">
        <f>AA17/AA12</f>
        <v>0.5143323215850929</v>
      </c>
      <c r="AC17" s="89">
        <f t="shared" ref="AC17:AC20" si="17">AA17/12</f>
        <v>117286.22195438245</v>
      </c>
      <c r="AD17" s="92">
        <f>AC17/AC12</f>
        <v>0.5143323215850929</v>
      </c>
      <c r="AE17" s="160"/>
      <c r="AF17" s="64"/>
      <c r="AI17" s="269"/>
      <c r="AJ17" s="260">
        <f t="shared" si="15"/>
        <v>7163842.4369736798</v>
      </c>
      <c r="AK17" s="268"/>
      <c r="AL17" s="54"/>
    </row>
    <row r="18" spans="1:38" s="1" customFormat="1">
      <c r="A18" s="3">
        <v>5503</v>
      </c>
      <c r="B18" s="3" t="s">
        <v>50</v>
      </c>
      <c r="C18" s="46"/>
      <c r="D18" s="68"/>
      <c r="E18" s="46"/>
      <c r="F18" s="68"/>
      <c r="G18" s="46"/>
      <c r="H18" s="68"/>
      <c r="I18" s="46"/>
      <c r="J18" s="68"/>
      <c r="K18" s="21"/>
      <c r="L18" s="68"/>
      <c r="M18" s="21"/>
      <c r="N18" s="68"/>
      <c r="O18" s="21"/>
      <c r="P18" s="68"/>
      <c r="Q18" s="37"/>
      <c r="R18" s="68"/>
      <c r="S18" s="37"/>
      <c r="T18" s="68">
        <v>0</v>
      </c>
      <c r="U18" s="37"/>
      <c r="V18" s="68"/>
      <c r="W18" s="37"/>
      <c r="X18" s="68"/>
      <c r="Y18" s="37"/>
      <c r="Z18" s="68"/>
      <c r="AA18" s="105">
        <f>C18+E18+G18+I18+K18+M18+O18+Q18+S18+U18+W18+Y18</f>
        <v>0</v>
      </c>
      <c r="AB18" s="107"/>
      <c r="AC18" s="89">
        <f t="shared" si="17"/>
        <v>0</v>
      </c>
      <c r="AD18" s="91"/>
      <c r="AE18" s="213"/>
      <c r="AF18" s="54"/>
      <c r="AI18" s="269"/>
      <c r="AJ18" s="260">
        <f t="shared" si="15"/>
        <v>0</v>
      </c>
      <c r="AK18" s="268"/>
      <c r="AL18" s="54"/>
    </row>
    <row r="19" spans="1:38" s="1" customFormat="1">
      <c r="A19" s="3">
        <v>5504</v>
      </c>
      <c r="B19" s="3" t="s">
        <v>51</v>
      </c>
      <c r="C19" s="46"/>
      <c r="D19" s="49">
        <f>C19/C12</f>
        <v>0</v>
      </c>
      <c r="E19" s="46"/>
      <c r="F19" s="49">
        <f>E19/E12</f>
        <v>0</v>
      </c>
      <c r="G19" s="289"/>
      <c r="H19" s="49">
        <f>G19/G12</f>
        <v>0</v>
      </c>
      <c r="I19" s="46"/>
      <c r="J19" s="49">
        <f>I19/I12</f>
        <v>0</v>
      </c>
      <c r="K19" s="21"/>
      <c r="L19" s="49">
        <f>K19/K12</f>
        <v>0</v>
      </c>
      <c r="M19" s="21"/>
      <c r="N19" s="49">
        <f>M19/M12</f>
        <v>0</v>
      </c>
      <c r="O19" s="21"/>
      <c r="P19" s="49">
        <f>O19/O12</f>
        <v>0</v>
      </c>
      <c r="Q19" s="46"/>
      <c r="R19" s="49">
        <f>Q19/Q12</f>
        <v>0</v>
      </c>
      <c r="S19" s="46"/>
      <c r="T19" s="49">
        <f>S19/S12</f>
        <v>0</v>
      </c>
      <c r="U19" s="46"/>
      <c r="V19" s="49">
        <f>U19/U12</f>
        <v>0</v>
      </c>
      <c r="W19" s="37"/>
      <c r="X19" s="49">
        <f>W19/W12</f>
        <v>0</v>
      </c>
      <c r="Y19" s="37"/>
      <c r="Z19" s="49">
        <f>Y19/Y12</f>
        <v>0</v>
      </c>
      <c r="AA19" s="105">
        <f>C19+E19+G19+I19+K19+M19+O19+Q19+S19+U19+W19+Y19</f>
        <v>0</v>
      </c>
      <c r="AB19" s="108">
        <f>AA19/AA12</f>
        <v>0</v>
      </c>
      <c r="AC19" s="89">
        <f t="shared" si="17"/>
        <v>0</v>
      </c>
      <c r="AD19" s="92">
        <f>AC19/AC12</f>
        <v>0</v>
      </c>
      <c r="AE19" s="214"/>
      <c r="AF19" s="54"/>
      <c r="AI19" s="269"/>
      <c r="AJ19" s="260">
        <f t="shared" si="15"/>
        <v>0</v>
      </c>
      <c r="AK19" s="268"/>
      <c r="AL19" s="54"/>
    </row>
    <row r="20" spans="1:38" s="1" customFormat="1">
      <c r="A20" s="3">
        <v>5505</v>
      </c>
      <c r="B20" s="3" t="s">
        <v>52</v>
      </c>
      <c r="C20" s="46"/>
      <c r="D20" s="68"/>
      <c r="E20" s="46"/>
      <c r="F20" s="68"/>
      <c r="G20" s="46"/>
      <c r="H20" s="68"/>
      <c r="I20" s="46"/>
      <c r="J20" s="68"/>
      <c r="K20" s="21"/>
      <c r="L20" s="68"/>
      <c r="M20" s="21"/>
      <c r="N20" s="68"/>
      <c r="O20" s="21"/>
      <c r="P20" s="68"/>
      <c r="Q20" s="37"/>
      <c r="R20" s="68"/>
      <c r="S20" s="37"/>
      <c r="T20" s="68"/>
      <c r="U20" s="37"/>
      <c r="V20" s="68"/>
      <c r="W20" s="37"/>
      <c r="X20" s="68"/>
      <c r="Y20" s="37"/>
      <c r="Z20" s="68"/>
      <c r="AA20" s="105">
        <f>C20+E20+G20+I20+K20+M20+O20+Q20+S20+U20+W20+Y20</f>
        <v>0</v>
      </c>
      <c r="AB20" s="107"/>
      <c r="AC20" s="89">
        <f t="shared" si="17"/>
        <v>0</v>
      </c>
      <c r="AD20" s="91"/>
      <c r="AE20" s="213"/>
      <c r="AF20" s="54"/>
      <c r="AI20" s="269"/>
      <c r="AJ20" s="260">
        <f t="shared" si="15"/>
        <v>0</v>
      </c>
      <c r="AK20" s="268"/>
      <c r="AL20" s="54"/>
    </row>
    <row r="21" spans="1:38" s="1" customFormat="1" ht="15.75" thickBot="1">
      <c r="A21" s="8">
        <v>5599</v>
      </c>
      <c r="B21" s="8" t="s">
        <v>108</v>
      </c>
      <c r="C21" s="22">
        <f>SUM(C17:C20)</f>
        <v>105190.0021</v>
      </c>
      <c r="D21" s="71">
        <f>C21/C12</f>
        <v>0.5111</v>
      </c>
      <c r="E21" s="22">
        <f>SUM(E17:E20)</f>
        <v>82142.253319852942</v>
      </c>
      <c r="F21" s="71">
        <f>E21/E12</f>
        <v>0.51300000000000001</v>
      </c>
      <c r="G21" s="22">
        <f>SUM(G17:G20)</f>
        <v>147517.41150543309</v>
      </c>
      <c r="H21" s="71">
        <f>G21/G12</f>
        <v>0.5554</v>
      </c>
      <c r="I21" s="22">
        <f>SUM(I17:I20)</f>
        <v>123314.99025957676</v>
      </c>
      <c r="J21" s="71">
        <f>I21/I12</f>
        <v>0.52579999999999993</v>
      </c>
      <c r="K21" s="22">
        <f>SUM(K17:K20)</f>
        <v>97254.317934548482</v>
      </c>
      <c r="L21" s="71">
        <f>K21/K12</f>
        <v>0.45340000000000003</v>
      </c>
      <c r="M21" s="22">
        <f>SUM(M17:M20)</f>
        <v>165066.59342932142</v>
      </c>
      <c r="N21" s="71">
        <f>M21/M12</f>
        <v>0.54270000000000007</v>
      </c>
      <c r="O21" s="22">
        <f>SUM(O17:O20)</f>
        <v>100904.41868108166</v>
      </c>
      <c r="P21" s="71">
        <f>O21/O12</f>
        <v>0.52400000000000002</v>
      </c>
      <c r="Q21" s="38">
        <f>SUM(Q17:Q20)</f>
        <v>138567.91208799739</v>
      </c>
      <c r="R21" s="71">
        <f>Q21/Q12</f>
        <v>0.57950000000000002</v>
      </c>
      <c r="S21" s="38">
        <f>SUM(S17:S20)</f>
        <v>115502.3595909836</v>
      </c>
      <c r="T21" s="71">
        <f>S21/S12</f>
        <v>0.47950000000000009</v>
      </c>
      <c r="U21" s="38">
        <f>SUM(U17:U20)</f>
        <v>90642.777699270664</v>
      </c>
      <c r="V21" s="71">
        <f>U21/U12</f>
        <v>0.47439999999999999</v>
      </c>
      <c r="W21" s="38">
        <f>SUM(W17:W20)</f>
        <v>90882.361035499925</v>
      </c>
      <c r="X21" s="71">
        <f>W21/W12</f>
        <v>0.46750000000000008</v>
      </c>
      <c r="Y21" s="38">
        <f>SUM(Y17:Y20)</f>
        <v>150449.26580902349</v>
      </c>
      <c r="Z21" s="71">
        <f>Y21/Y12</f>
        <v>0.51229999999999998</v>
      </c>
      <c r="AA21" s="109">
        <f>SUM(AA17:AA20)</f>
        <v>1407434.6634525894</v>
      </c>
      <c r="AB21" s="110">
        <f>AA21/AA12</f>
        <v>0.5143323215850929</v>
      </c>
      <c r="AC21" s="93">
        <f>SUM(AC17:AC20)</f>
        <v>117286.22195438245</v>
      </c>
      <c r="AD21" s="94">
        <f>AC21/AC12</f>
        <v>0.5143323215850929</v>
      </c>
      <c r="AE21" s="218"/>
      <c r="AF21" s="219"/>
      <c r="AG21" s="209"/>
      <c r="AI21" s="269"/>
      <c r="AJ21" s="260">
        <f t="shared" si="15"/>
        <v>7163842.4369736798</v>
      </c>
      <c r="AK21" s="268"/>
      <c r="AL21" s="54"/>
    </row>
    <row r="22" spans="1:38" s="1" customFormat="1" ht="15.75" thickTop="1">
      <c r="A22" s="3">
        <v>5601</v>
      </c>
      <c r="B22" s="3" t="s">
        <v>53</v>
      </c>
      <c r="C22" s="46"/>
      <c r="D22" s="49">
        <f t="shared" ref="D22:D34" si="18">C22/C$12</f>
        <v>0</v>
      </c>
      <c r="E22" s="46"/>
      <c r="F22" s="49">
        <f t="shared" ref="F22:F35" si="19">E22/E$12</f>
        <v>0</v>
      </c>
      <c r="G22" s="46"/>
      <c r="H22" s="49">
        <f t="shared" ref="H22:H34" si="20">G22/G$12</f>
        <v>0</v>
      </c>
      <c r="I22" s="46"/>
      <c r="J22" s="49">
        <f t="shared" ref="J22:J34" si="21">I22/I$12</f>
        <v>0</v>
      </c>
      <c r="K22" s="46"/>
      <c r="L22" s="49">
        <f t="shared" ref="L22:L34" si="22">K22/K$12</f>
        <v>0</v>
      </c>
      <c r="M22" s="46"/>
      <c r="N22" s="49">
        <f t="shared" ref="N22:N34" si="23">M22/M$12</f>
        <v>0</v>
      </c>
      <c r="O22" s="46"/>
      <c r="P22" s="49">
        <f t="shared" ref="P22:P34" si="24">O22/O$12</f>
        <v>0</v>
      </c>
      <c r="Q22" s="46"/>
      <c r="R22" s="49">
        <f>Q22/Q$12</f>
        <v>0</v>
      </c>
      <c r="S22" s="46"/>
      <c r="T22" s="49">
        <f t="shared" ref="T22:T34" si="25">S22/S$12</f>
        <v>0</v>
      </c>
      <c r="U22" s="46"/>
      <c r="V22" s="49">
        <f t="shared" ref="V22:V34" si="26">U22/U$12</f>
        <v>0</v>
      </c>
      <c r="W22" s="46"/>
      <c r="X22" s="49">
        <f>W22/W$12</f>
        <v>0</v>
      </c>
      <c r="Y22" s="46"/>
      <c r="Z22" s="49">
        <f t="shared" ref="Z22:Z34" si="27">Y22/Y$12</f>
        <v>0</v>
      </c>
      <c r="AA22" s="105">
        <f t="shared" ref="AA22:AA34" si="28">C22+E22+G22+I22+K22+M22+O22+Q22+S22+U22+W22+Y22</f>
        <v>0</v>
      </c>
      <c r="AB22" s="108">
        <f t="shared" ref="AB22:AB34" si="29">AA22/AA$12</f>
        <v>0</v>
      </c>
      <c r="AC22" s="89">
        <f t="shared" ref="AC22:AC34" si="30">AA22/12</f>
        <v>0</v>
      </c>
      <c r="AD22" s="92">
        <f t="shared" ref="AD22:AD34" si="31">AC22/AC$12</f>
        <v>0</v>
      </c>
      <c r="AE22" s="214"/>
      <c r="AF22" s="54"/>
      <c r="AI22" s="269"/>
      <c r="AJ22" s="260">
        <f t="shared" si="15"/>
        <v>0</v>
      </c>
      <c r="AK22" s="268"/>
      <c r="AL22" s="54"/>
    </row>
    <row r="23" spans="1:38" s="1" customFormat="1">
      <c r="A23" s="3">
        <v>5602</v>
      </c>
      <c r="B23" s="3" t="s">
        <v>54</v>
      </c>
      <c r="C23" s="46"/>
      <c r="D23" s="49">
        <f t="shared" si="18"/>
        <v>0</v>
      </c>
      <c r="E23" s="46"/>
      <c r="F23" s="49">
        <f t="shared" si="19"/>
        <v>0</v>
      </c>
      <c r="G23" s="46"/>
      <c r="H23" s="49">
        <f t="shared" si="20"/>
        <v>0</v>
      </c>
      <c r="I23" s="46"/>
      <c r="J23" s="49">
        <f t="shared" si="21"/>
        <v>0</v>
      </c>
      <c r="K23" s="46"/>
      <c r="L23" s="49">
        <f t="shared" si="22"/>
        <v>0</v>
      </c>
      <c r="M23" s="46"/>
      <c r="N23" s="49">
        <f t="shared" si="23"/>
        <v>0</v>
      </c>
      <c r="O23" s="46"/>
      <c r="P23" s="49">
        <f t="shared" si="24"/>
        <v>0</v>
      </c>
      <c r="Q23" s="46"/>
      <c r="R23" s="49">
        <f>Q23/Q$12</f>
        <v>0</v>
      </c>
      <c r="S23" s="46"/>
      <c r="T23" s="49">
        <f t="shared" si="25"/>
        <v>0</v>
      </c>
      <c r="U23" s="46"/>
      <c r="V23" s="49">
        <f t="shared" si="26"/>
        <v>0</v>
      </c>
      <c r="W23" s="46"/>
      <c r="X23" s="49">
        <f>W23/W$12</f>
        <v>0</v>
      </c>
      <c r="Y23" s="46"/>
      <c r="Z23" s="49">
        <f t="shared" si="27"/>
        <v>0</v>
      </c>
      <c r="AA23" s="105">
        <f t="shared" si="28"/>
        <v>0</v>
      </c>
      <c r="AB23" s="108">
        <f t="shared" si="29"/>
        <v>0</v>
      </c>
      <c r="AC23" s="89">
        <f t="shared" si="30"/>
        <v>0</v>
      </c>
      <c r="AD23" s="92">
        <f t="shared" si="31"/>
        <v>0</v>
      </c>
      <c r="AE23" s="214"/>
      <c r="AF23" s="54"/>
      <c r="AI23" s="269"/>
      <c r="AJ23" s="260">
        <f t="shared" si="15"/>
        <v>0</v>
      </c>
      <c r="AK23" s="268"/>
      <c r="AL23" s="54"/>
    </row>
    <row r="24" spans="1:38" s="1" customFormat="1">
      <c r="A24" s="3">
        <v>5603</v>
      </c>
      <c r="B24" s="3" t="s">
        <v>55</v>
      </c>
      <c r="C24" s="46"/>
      <c r="D24" s="49">
        <f t="shared" si="18"/>
        <v>0</v>
      </c>
      <c r="E24" s="46"/>
      <c r="F24" s="49">
        <f t="shared" si="19"/>
        <v>0</v>
      </c>
      <c r="G24" s="46"/>
      <c r="H24" s="49">
        <f t="shared" si="20"/>
        <v>0</v>
      </c>
      <c r="I24" s="46"/>
      <c r="J24" s="49">
        <f t="shared" si="21"/>
        <v>0</v>
      </c>
      <c r="K24" s="46"/>
      <c r="L24" s="49">
        <f t="shared" si="22"/>
        <v>0</v>
      </c>
      <c r="M24" s="46"/>
      <c r="N24" s="49">
        <f t="shared" si="23"/>
        <v>0</v>
      </c>
      <c r="O24" s="46"/>
      <c r="P24" s="49">
        <f t="shared" si="24"/>
        <v>0</v>
      </c>
      <c r="Q24" s="46"/>
      <c r="R24" s="49">
        <f>Q24/Q$12</f>
        <v>0</v>
      </c>
      <c r="S24" s="46"/>
      <c r="T24" s="49">
        <f t="shared" si="25"/>
        <v>0</v>
      </c>
      <c r="U24" s="46"/>
      <c r="V24" s="49">
        <f t="shared" si="26"/>
        <v>0</v>
      </c>
      <c r="W24" s="46"/>
      <c r="X24" s="49">
        <f>W24/W$12</f>
        <v>0</v>
      </c>
      <c r="Y24" s="46"/>
      <c r="Z24" s="49">
        <f t="shared" si="27"/>
        <v>0</v>
      </c>
      <c r="AA24" s="105">
        <f t="shared" si="28"/>
        <v>0</v>
      </c>
      <c r="AB24" s="108">
        <f t="shared" si="29"/>
        <v>0</v>
      </c>
      <c r="AC24" s="89">
        <f t="shared" si="30"/>
        <v>0</v>
      </c>
      <c r="AD24" s="92">
        <f t="shared" si="31"/>
        <v>0</v>
      </c>
      <c r="AE24" s="214"/>
      <c r="AF24" s="54"/>
      <c r="AI24" s="269"/>
      <c r="AJ24" s="260">
        <f t="shared" si="15"/>
        <v>0</v>
      </c>
      <c r="AK24" s="268"/>
      <c r="AL24" s="54"/>
    </row>
    <row r="25" spans="1:38" s="1" customFormat="1">
      <c r="A25" s="3">
        <v>5604</v>
      </c>
      <c r="B25" s="3" t="s">
        <v>56</v>
      </c>
      <c r="C25" s="46">
        <v>150</v>
      </c>
      <c r="D25" s="49">
        <f t="shared" si="18"/>
        <v>7.2882401815257687E-4</v>
      </c>
      <c r="E25" s="46">
        <v>150</v>
      </c>
      <c r="F25" s="49">
        <f t="shared" si="19"/>
        <v>9.3678949493100855E-4</v>
      </c>
      <c r="G25" s="46">
        <v>150</v>
      </c>
      <c r="H25" s="49">
        <f t="shared" si="20"/>
        <v>5.6474689428055529E-4</v>
      </c>
      <c r="I25" s="46">
        <v>150</v>
      </c>
      <c r="J25" s="49">
        <f t="shared" si="21"/>
        <v>6.3958160994036055E-4</v>
      </c>
      <c r="K25" s="46">
        <v>150</v>
      </c>
      <c r="L25" s="49">
        <f t="shared" si="22"/>
        <v>6.9930057034352222E-4</v>
      </c>
      <c r="M25" s="46">
        <v>150</v>
      </c>
      <c r="N25" s="49">
        <f t="shared" si="23"/>
        <v>4.9316459683804029E-4</v>
      </c>
      <c r="O25" s="46">
        <v>150</v>
      </c>
      <c r="P25" s="49">
        <f t="shared" si="24"/>
        <v>7.7895498559307926E-4</v>
      </c>
      <c r="Q25" s="46">
        <v>150</v>
      </c>
      <c r="R25" s="49">
        <f>Q25/Q$12</f>
        <v>6.2730973347421436E-4</v>
      </c>
      <c r="S25" s="46">
        <v>150</v>
      </c>
      <c r="T25" s="49">
        <f t="shared" si="25"/>
        <v>6.2271455106805156E-4</v>
      </c>
      <c r="U25" s="46">
        <v>150</v>
      </c>
      <c r="V25" s="49">
        <f t="shared" si="26"/>
        <v>7.8505978971750521E-4</v>
      </c>
      <c r="W25" s="46">
        <v>150</v>
      </c>
      <c r="X25" s="49">
        <f>W25/W$12</f>
        <v>7.7160187302581409E-4</v>
      </c>
      <c r="Y25" s="46">
        <v>150</v>
      </c>
      <c r="Z25" s="49">
        <f t="shared" si="27"/>
        <v>5.1077018945074222E-4</v>
      </c>
      <c r="AA25" s="105">
        <f t="shared" si="28"/>
        <v>1800</v>
      </c>
      <c r="AB25" s="108">
        <f t="shared" si="29"/>
        <v>6.5779123030982071E-4</v>
      </c>
      <c r="AC25" s="89">
        <f t="shared" si="30"/>
        <v>150</v>
      </c>
      <c r="AD25" s="92">
        <f t="shared" si="31"/>
        <v>6.5779123030982071E-4</v>
      </c>
      <c r="AE25" s="214" t="s">
        <v>177</v>
      </c>
      <c r="AF25" s="54">
        <v>75</v>
      </c>
      <c r="AG25" s="1" t="s">
        <v>176</v>
      </c>
      <c r="AI25" s="269"/>
      <c r="AJ25" s="260">
        <f t="shared" si="15"/>
        <v>9162</v>
      </c>
      <c r="AK25" s="268"/>
      <c r="AL25" s="54"/>
    </row>
    <row r="26" spans="1:38" s="1" customFormat="1">
      <c r="A26" s="3">
        <v>5605</v>
      </c>
      <c r="B26" s="3" t="s">
        <v>14</v>
      </c>
      <c r="C26" s="46"/>
      <c r="D26" s="49">
        <f t="shared" si="18"/>
        <v>0</v>
      </c>
      <c r="E26" s="46"/>
      <c r="F26" s="49">
        <f t="shared" si="19"/>
        <v>0</v>
      </c>
      <c r="G26" s="46"/>
      <c r="H26" s="49">
        <f t="shared" si="20"/>
        <v>0</v>
      </c>
      <c r="I26" s="46"/>
      <c r="J26" s="49">
        <f t="shared" si="21"/>
        <v>0</v>
      </c>
      <c r="K26" s="46"/>
      <c r="L26" s="49">
        <f t="shared" si="22"/>
        <v>0</v>
      </c>
      <c r="M26" s="46"/>
      <c r="N26" s="49">
        <f t="shared" si="23"/>
        <v>0</v>
      </c>
      <c r="O26" s="46"/>
      <c r="P26" s="49">
        <f t="shared" si="24"/>
        <v>0</v>
      </c>
      <c r="Q26" s="46"/>
      <c r="R26" s="49">
        <f>Q26/Q$12</f>
        <v>0</v>
      </c>
      <c r="S26" s="46"/>
      <c r="T26" s="49">
        <f t="shared" si="25"/>
        <v>0</v>
      </c>
      <c r="U26" s="46"/>
      <c r="V26" s="49">
        <f t="shared" si="26"/>
        <v>0</v>
      </c>
      <c r="W26" s="46"/>
      <c r="X26" s="49">
        <f>W26/W$12</f>
        <v>0</v>
      </c>
      <c r="Y26" s="46"/>
      <c r="Z26" s="49">
        <f t="shared" si="27"/>
        <v>0</v>
      </c>
      <c r="AA26" s="105">
        <f t="shared" si="28"/>
        <v>0</v>
      </c>
      <c r="AB26" s="108">
        <f t="shared" si="29"/>
        <v>0</v>
      </c>
      <c r="AC26" s="89">
        <f t="shared" si="30"/>
        <v>0</v>
      </c>
      <c r="AD26" s="92">
        <f t="shared" si="31"/>
        <v>0</v>
      </c>
      <c r="AE26" s="214"/>
      <c r="AF26" s="54"/>
      <c r="AI26" s="269"/>
      <c r="AJ26" s="260">
        <f t="shared" si="15"/>
        <v>0</v>
      </c>
      <c r="AK26" s="268"/>
      <c r="AL26" s="54"/>
    </row>
    <row r="27" spans="1:38" s="1" customFormat="1">
      <c r="A27" s="3">
        <v>5606</v>
      </c>
      <c r="B27" s="3" t="s">
        <v>77</v>
      </c>
      <c r="C27" s="46">
        <f>C16*0.36%</f>
        <v>740.91959999999995</v>
      </c>
      <c r="D27" s="49">
        <f t="shared" si="18"/>
        <v>3.5999999999999999E-3</v>
      </c>
      <c r="E27" s="46">
        <f>E16*0.36%</f>
        <v>576.43686540247677</v>
      </c>
      <c r="F27" s="49">
        <f t="shared" si="19"/>
        <v>3.5999999999999999E-3</v>
      </c>
      <c r="G27" s="46">
        <f>G16*0.36%</f>
        <v>956.18055711119757</v>
      </c>
      <c r="H27" s="49">
        <f t="shared" si="20"/>
        <v>3.5999999999999999E-3</v>
      </c>
      <c r="I27" s="46">
        <f>I16*0.36%</f>
        <v>844.30194928580522</v>
      </c>
      <c r="J27" s="49">
        <f t="shared" si="21"/>
        <v>3.5999999999999999E-3</v>
      </c>
      <c r="K27" s="46">
        <f>K16*0.36%</f>
        <v>772.20014240047317</v>
      </c>
      <c r="L27" s="49">
        <f t="shared" si="22"/>
        <v>3.5999999999999999E-3</v>
      </c>
      <c r="M27" s="46">
        <f>M16*0.36%</f>
        <v>1094.9691106422647</v>
      </c>
      <c r="N27" s="49">
        <f t="shared" si="23"/>
        <v>3.5999999999999999E-3</v>
      </c>
      <c r="O27" s="46">
        <f>O16*0.36%</f>
        <v>693.23646422117167</v>
      </c>
      <c r="P27" s="49">
        <f t="shared" si="24"/>
        <v>3.5999999999999999E-3</v>
      </c>
      <c r="Q27" s="46">
        <f>Q16*0.36%</f>
        <v>860.81878087453072</v>
      </c>
      <c r="R27" s="49">
        <f>Q27/Q12</f>
        <v>3.5999999999999999E-3</v>
      </c>
      <c r="S27" s="46">
        <f>S16*0.36%</f>
        <v>867.17100005743669</v>
      </c>
      <c r="T27" s="49">
        <f t="shared" si="25"/>
        <v>3.5999999999999999E-3</v>
      </c>
      <c r="U27" s="46">
        <f>U16*0.36%</f>
        <v>687.84569923561207</v>
      </c>
      <c r="V27" s="49">
        <f t="shared" si="26"/>
        <v>3.5999999999999999E-3</v>
      </c>
      <c r="W27" s="46">
        <f>W16*0.36%</f>
        <v>699.84278016641645</v>
      </c>
      <c r="X27" s="49">
        <f>W27/W12</f>
        <v>3.5999999999999999E-3</v>
      </c>
      <c r="Y27" s="46">
        <f>Y16*0.36%</f>
        <v>1057.2269313146292</v>
      </c>
      <c r="Z27" s="49">
        <f t="shared" si="27"/>
        <v>3.5999999999999995E-3</v>
      </c>
      <c r="AA27" s="105">
        <f t="shared" si="28"/>
        <v>9851.1498807120133</v>
      </c>
      <c r="AB27" s="108">
        <f t="shared" si="29"/>
        <v>3.5999999999999995E-3</v>
      </c>
      <c r="AC27" s="89">
        <f t="shared" si="30"/>
        <v>820.92915672600111</v>
      </c>
      <c r="AD27" s="92">
        <f t="shared" si="31"/>
        <v>3.5999999999999995E-3</v>
      </c>
      <c r="AE27" s="214" t="s">
        <v>177</v>
      </c>
      <c r="AF27" s="54">
        <v>-1590</v>
      </c>
      <c r="AG27" s="1" t="s">
        <v>178</v>
      </c>
      <c r="AI27" s="269"/>
      <c r="AJ27" s="260">
        <f t="shared" si="15"/>
        <v>50142.352892824143</v>
      </c>
      <c r="AK27" s="268"/>
      <c r="AL27" s="54"/>
    </row>
    <row r="28" spans="1:38" s="1" customFormat="1">
      <c r="A28" s="3">
        <v>5607</v>
      </c>
      <c r="B28" s="3" t="s">
        <v>57</v>
      </c>
      <c r="C28" s="46"/>
      <c r="D28" s="49">
        <f t="shared" si="18"/>
        <v>0</v>
      </c>
      <c r="E28" s="46"/>
      <c r="F28" s="49">
        <f t="shared" si="19"/>
        <v>0</v>
      </c>
      <c r="G28" s="46"/>
      <c r="H28" s="49">
        <f t="shared" si="20"/>
        <v>0</v>
      </c>
      <c r="I28" s="46"/>
      <c r="J28" s="49">
        <f t="shared" si="21"/>
        <v>0</v>
      </c>
      <c r="K28" s="46"/>
      <c r="L28" s="49">
        <f t="shared" si="22"/>
        <v>0</v>
      </c>
      <c r="M28" s="46"/>
      <c r="N28" s="49">
        <f t="shared" si="23"/>
        <v>0</v>
      </c>
      <c r="O28" s="46"/>
      <c r="P28" s="49">
        <f t="shared" si="24"/>
        <v>0</v>
      </c>
      <c r="Q28" s="46"/>
      <c r="R28" s="49">
        <f t="shared" ref="R28:R34" si="32">Q28/Q$12</f>
        <v>0</v>
      </c>
      <c r="S28" s="46"/>
      <c r="T28" s="49">
        <f t="shared" si="25"/>
        <v>0</v>
      </c>
      <c r="U28" s="46"/>
      <c r="V28" s="49">
        <f t="shared" si="26"/>
        <v>0</v>
      </c>
      <c r="W28" s="46"/>
      <c r="X28" s="49">
        <f t="shared" ref="X28:X34" si="33">W28/W$12</f>
        <v>0</v>
      </c>
      <c r="Y28" s="46"/>
      <c r="Z28" s="49">
        <f t="shared" si="27"/>
        <v>0</v>
      </c>
      <c r="AA28" s="105">
        <f t="shared" si="28"/>
        <v>0</v>
      </c>
      <c r="AB28" s="108">
        <f t="shared" si="29"/>
        <v>0</v>
      </c>
      <c r="AC28" s="89">
        <f t="shared" si="30"/>
        <v>0</v>
      </c>
      <c r="AD28" s="92">
        <f t="shared" si="31"/>
        <v>0</v>
      </c>
      <c r="AE28" s="214"/>
      <c r="AF28" s="54"/>
      <c r="AI28" s="269"/>
      <c r="AJ28" s="260">
        <f t="shared" si="15"/>
        <v>0</v>
      </c>
      <c r="AK28" s="268"/>
      <c r="AL28" s="54"/>
    </row>
    <row r="29" spans="1:38" s="1" customFormat="1">
      <c r="A29" s="3">
        <v>5608</v>
      </c>
      <c r="B29" s="3" t="s">
        <v>58</v>
      </c>
      <c r="C29" s="46"/>
      <c r="D29" s="49">
        <f t="shared" si="18"/>
        <v>0</v>
      </c>
      <c r="E29" s="46"/>
      <c r="F29" s="49">
        <f t="shared" si="19"/>
        <v>0</v>
      </c>
      <c r="G29" s="46"/>
      <c r="H29" s="49">
        <f t="shared" si="20"/>
        <v>0</v>
      </c>
      <c r="I29" s="46"/>
      <c r="J29" s="49">
        <f t="shared" si="21"/>
        <v>0</v>
      </c>
      <c r="K29" s="46"/>
      <c r="L29" s="49">
        <f t="shared" si="22"/>
        <v>0</v>
      </c>
      <c r="M29" s="46"/>
      <c r="N29" s="49">
        <f t="shared" si="23"/>
        <v>0</v>
      </c>
      <c r="O29" s="46"/>
      <c r="P29" s="49">
        <f t="shared" si="24"/>
        <v>0</v>
      </c>
      <c r="Q29" s="46"/>
      <c r="R29" s="49">
        <f t="shared" si="32"/>
        <v>0</v>
      </c>
      <c r="S29" s="46"/>
      <c r="T29" s="49">
        <f t="shared" si="25"/>
        <v>0</v>
      </c>
      <c r="U29" s="46"/>
      <c r="V29" s="49">
        <f t="shared" si="26"/>
        <v>0</v>
      </c>
      <c r="W29" s="46"/>
      <c r="X29" s="49">
        <f t="shared" si="33"/>
        <v>0</v>
      </c>
      <c r="Y29" s="46"/>
      <c r="Z29" s="49">
        <f t="shared" si="27"/>
        <v>0</v>
      </c>
      <c r="AA29" s="105">
        <f t="shared" si="28"/>
        <v>0</v>
      </c>
      <c r="AB29" s="108">
        <f t="shared" si="29"/>
        <v>0</v>
      </c>
      <c r="AC29" s="89">
        <f t="shared" si="30"/>
        <v>0</v>
      </c>
      <c r="AD29" s="92">
        <f t="shared" si="31"/>
        <v>0</v>
      </c>
      <c r="AE29" s="214"/>
      <c r="AF29" s="54"/>
      <c r="AI29" s="269"/>
      <c r="AJ29" s="260">
        <f t="shared" si="15"/>
        <v>0</v>
      </c>
      <c r="AK29" s="268"/>
      <c r="AL29" s="54"/>
    </row>
    <row r="30" spans="1:38" s="1" customFormat="1">
      <c r="A30" s="3">
        <v>5609</v>
      </c>
      <c r="B30" s="3" t="s">
        <v>59</v>
      </c>
      <c r="C30" s="46"/>
      <c r="D30" s="49">
        <f t="shared" si="18"/>
        <v>0</v>
      </c>
      <c r="E30" s="46"/>
      <c r="F30" s="49">
        <f t="shared" si="19"/>
        <v>0</v>
      </c>
      <c r="G30" s="46"/>
      <c r="H30" s="49">
        <f t="shared" si="20"/>
        <v>0</v>
      </c>
      <c r="I30" s="46"/>
      <c r="J30" s="49">
        <f t="shared" si="21"/>
        <v>0</v>
      </c>
      <c r="K30" s="46"/>
      <c r="L30" s="49">
        <f t="shared" si="22"/>
        <v>0</v>
      </c>
      <c r="M30" s="46"/>
      <c r="N30" s="49">
        <f t="shared" si="23"/>
        <v>0</v>
      </c>
      <c r="O30" s="46"/>
      <c r="P30" s="49">
        <f t="shared" si="24"/>
        <v>0</v>
      </c>
      <c r="Q30" s="46"/>
      <c r="R30" s="49">
        <f t="shared" si="32"/>
        <v>0</v>
      </c>
      <c r="S30" s="46"/>
      <c r="T30" s="49">
        <f t="shared" si="25"/>
        <v>0</v>
      </c>
      <c r="U30" s="46"/>
      <c r="V30" s="49">
        <f t="shared" si="26"/>
        <v>0</v>
      </c>
      <c r="W30" s="46"/>
      <c r="X30" s="49">
        <f t="shared" si="33"/>
        <v>0</v>
      </c>
      <c r="Y30" s="46"/>
      <c r="Z30" s="49">
        <f t="shared" si="27"/>
        <v>0</v>
      </c>
      <c r="AA30" s="105">
        <f t="shared" si="28"/>
        <v>0</v>
      </c>
      <c r="AB30" s="108">
        <f t="shared" si="29"/>
        <v>0</v>
      </c>
      <c r="AC30" s="89">
        <f t="shared" si="30"/>
        <v>0</v>
      </c>
      <c r="AD30" s="92">
        <f t="shared" si="31"/>
        <v>0</v>
      </c>
      <c r="AE30" s="214"/>
      <c r="AF30" s="54"/>
      <c r="AI30" s="269"/>
      <c r="AJ30" s="260">
        <f t="shared" si="15"/>
        <v>0</v>
      </c>
      <c r="AK30" s="268"/>
      <c r="AL30" s="54"/>
    </row>
    <row r="31" spans="1:38" s="1" customFormat="1">
      <c r="A31" s="3">
        <v>5610</v>
      </c>
      <c r="B31" s="3" t="s">
        <v>60</v>
      </c>
      <c r="C31" s="46"/>
      <c r="D31" s="49">
        <f t="shared" si="18"/>
        <v>0</v>
      </c>
      <c r="E31" s="46"/>
      <c r="F31" s="49">
        <f t="shared" si="19"/>
        <v>0</v>
      </c>
      <c r="G31" s="46"/>
      <c r="H31" s="49">
        <f t="shared" si="20"/>
        <v>0</v>
      </c>
      <c r="I31" s="46"/>
      <c r="J31" s="49">
        <f t="shared" si="21"/>
        <v>0</v>
      </c>
      <c r="K31" s="46"/>
      <c r="L31" s="49">
        <f t="shared" si="22"/>
        <v>0</v>
      </c>
      <c r="M31" s="46"/>
      <c r="N31" s="49">
        <f t="shared" si="23"/>
        <v>0</v>
      </c>
      <c r="O31" s="46"/>
      <c r="P31" s="49">
        <f t="shared" si="24"/>
        <v>0</v>
      </c>
      <c r="Q31" s="46"/>
      <c r="R31" s="49">
        <f t="shared" si="32"/>
        <v>0</v>
      </c>
      <c r="S31" s="46"/>
      <c r="T31" s="49">
        <f t="shared" si="25"/>
        <v>0</v>
      </c>
      <c r="U31" s="46"/>
      <c r="V31" s="49">
        <f t="shared" si="26"/>
        <v>0</v>
      </c>
      <c r="W31" s="46"/>
      <c r="X31" s="49">
        <f t="shared" si="33"/>
        <v>0</v>
      </c>
      <c r="Y31" s="46"/>
      <c r="Z31" s="49">
        <f t="shared" si="27"/>
        <v>0</v>
      </c>
      <c r="AA31" s="105">
        <f t="shared" si="28"/>
        <v>0</v>
      </c>
      <c r="AB31" s="108">
        <f t="shared" si="29"/>
        <v>0</v>
      </c>
      <c r="AC31" s="89">
        <f t="shared" si="30"/>
        <v>0</v>
      </c>
      <c r="AD31" s="92">
        <f t="shared" si="31"/>
        <v>0</v>
      </c>
      <c r="AE31" s="214"/>
      <c r="AF31" s="54"/>
      <c r="AI31" s="269"/>
      <c r="AJ31" s="260">
        <f t="shared" si="15"/>
        <v>0</v>
      </c>
      <c r="AK31" s="268"/>
      <c r="AL31" s="54"/>
    </row>
    <row r="32" spans="1:38" s="1" customFormat="1">
      <c r="A32" s="3">
        <v>5611</v>
      </c>
      <c r="B32" s="3" t="s">
        <v>109</v>
      </c>
      <c r="C32" s="46"/>
      <c r="D32" s="49">
        <f t="shared" si="18"/>
        <v>0</v>
      </c>
      <c r="E32" s="46"/>
      <c r="F32" s="49">
        <f t="shared" si="19"/>
        <v>0</v>
      </c>
      <c r="G32" s="46"/>
      <c r="H32" s="49">
        <f t="shared" si="20"/>
        <v>0</v>
      </c>
      <c r="I32" s="46"/>
      <c r="J32" s="49">
        <f t="shared" si="21"/>
        <v>0</v>
      </c>
      <c r="K32" s="46"/>
      <c r="L32" s="49">
        <f t="shared" si="22"/>
        <v>0</v>
      </c>
      <c r="M32" s="46"/>
      <c r="N32" s="49">
        <f t="shared" si="23"/>
        <v>0</v>
      </c>
      <c r="O32" s="46"/>
      <c r="P32" s="49">
        <f t="shared" si="24"/>
        <v>0</v>
      </c>
      <c r="Q32" s="46"/>
      <c r="R32" s="49">
        <f t="shared" si="32"/>
        <v>0</v>
      </c>
      <c r="S32" s="46"/>
      <c r="T32" s="49">
        <f t="shared" si="25"/>
        <v>0</v>
      </c>
      <c r="U32" s="46"/>
      <c r="V32" s="49">
        <f t="shared" si="26"/>
        <v>0</v>
      </c>
      <c r="W32" s="46"/>
      <c r="X32" s="49">
        <f t="shared" si="33"/>
        <v>0</v>
      </c>
      <c r="Y32" s="46"/>
      <c r="Z32" s="49">
        <f t="shared" si="27"/>
        <v>0</v>
      </c>
      <c r="AA32" s="105">
        <f t="shared" si="28"/>
        <v>0</v>
      </c>
      <c r="AB32" s="108">
        <f t="shared" si="29"/>
        <v>0</v>
      </c>
      <c r="AC32" s="89">
        <f t="shared" si="30"/>
        <v>0</v>
      </c>
      <c r="AD32" s="92">
        <f t="shared" si="31"/>
        <v>0</v>
      </c>
      <c r="AE32" s="214"/>
      <c r="AF32" s="54"/>
      <c r="AI32" s="269"/>
      <c r="AJ32" s="260">
        <f t="shared" si="15"/>
        <v>0</v>
      </c>
      <c r="AK32" s="268"/>
      <c r="AL32" s="54"/>
    </row>
    <row r="33" spans="1:38" s="1" customFormat="1">
      <c r="A33" s="3">
        <v>5612</v>
      </c>
      <c r="B33" s="3" t="s">
        <v>61</v>
      </c>
      <c r="C33" s="46"/>
      <c r="D33" s="49">
        <f t="shared" si="18"/>
        <v>0</v>
      </c>
      <c r="E33" s="46"/>
      <c r="F33" s="49">
        <f t="shared" si="19"/>
        <v>0</v>
      </c>
      <c r="G33" s="46"/>
      <c r="H33" s="49">
        <f t="shared" si="20"/>
        <v>0</v>
      </c>
      <c r="I33" s="46"/>
      <c r="J33" s="49">
        <f t="shared" si="21"/>
        <v>0</v>
      </c>
      <c r="K33" s="46"/>
      <c r="L33" s="49">
        <f t="shared" si="22"/>
        <v>0</v>
      </c>
      <c r="M33" s="46"/>
      <c r="N33" s="49">
        <f t="shared" si="23"/>
        <v>0</v>
      </c>
      <c r="O33" s="46"/>
      <c r="P33" s="49">
        <f t="shared" si="24"/>
        <v>0</v>
      </c>
      <c r="Q33" s="46"/>
      <c r="R33" s="49">
        <f t="shared" si="32"/>
        <v>0</v>
      </c>
      <c r="S33" s="46"/>
      <c r="T33" s="49">
        <f t="shared" si="25"/>
        <v>0</v>
      </c>
      <c r="U33" s="46"/>
      <c r="V33" s="49">
        <f t="shared" si="26"/>
        <v>0</v>
      </c>
      <c r="W33" s="46"/>
      <c r="X33" s="49">
        <f t="shared" si="33"/>
        <v>0</v>
      </c>
      <c r="Y33" s="46"/>
      <c r="Z33" s="49">
        <f t="shared" si="27"/>
        <v>0</v>
      </c>
      <c r="AA33" s="105">
        <f t="shared" si="28"/>
        <v>0</v>
      </c>
      <c r="AB33" s="108">
        <f t="shared" si="29"/>
        <v>0</v>
      </c>
      <c r="AC33" s="89">
        <f t="shared" si="30"/>
        <v>0</v>
      </c>
      <c r="AD33" s="92">
        <f t="shared" si="31"/>
        <v>0</v>
      </c>
      <c r="AE33" s="214"/>
      <c r="AF33" s="54"/>
      <c r="AI33" s="269"/>
      <c r="AJ33" s="260">
        <f t="shared" si="15"/>
        <v>0</v>
      </c>
      <c r="AK33" s="268"/>
      <c r="AL33" s="54"/>
    </row>
    <row r="34" spans="1:38" s="1" customFormat="1">
      <c r="A34" s="3">
        <v>5613</v>
      </c>
      <c r="B34" s="3" t="s">
        <v>62</v>
      </c>
      <c r="C34" s="46"/>
      <c r="D34" s="49">
        <f t="shared" si="18"/>
        <v>0</v>
      </c>
      <c r="E34" s="46"/>
      <c r="F34" s="49">
        <f t="shared" si="19"/>
        <v>0</v>
      </c>
      <c r="G34" s="46"/>
      <c r="H34" s="49">
        <f t="shared" si="20"/>
        <v>0</v>
      </c>
      <c r="I34" s="46"/>
      <c r="J34" s="49">
        <f t="shared" si="21"/>
        <v>0</v>
      </c>
      <c r="K34" s="46"/>
      <c r="L34" s="49">
        <f t="shared" si="22"/>
        <v>0</v>
      </c>
      <c r="M34" s="46"/>
      <c r="N34" s="49">
        <f t="shared" si="23"/>
        <v>0</v>
      </c>
      <c r="O34" s="46"/>
      <c r="P34" s="49">
        <f t="shared" si="24"/>
        <v>0</v>
      </c>
      <c r="Q34" s="46"/>
      <c r="R34" s="49">
        <f t="shared" si="32"/>
        <v>0</v>
      </c>
      <c r="S34" s="46"/>
      <c r="T34" s="49">
        <f t="shared" si="25"/>
        <v>0</v>
      </c>
      <c r="U34" s="46"/>
      <c r="V34" s="49">
        <f t="shared" si="26"/>
        <v>0</v>
      </c>
      <c r="W34" s="46"/>
      <c r="X34" s="49">
        <f t="shared" si="33"/>
        <v>0</v>
      </c>
      <c r="Y34" s="46"/>
      <c r="Z34" s="49">
        <f t="shared" si="27"/>
        <v>0</v>
      </c>
      <c r="AA34" s="105">
        <f t="shared" si="28"/>
        <v>0</v>
      </c>
      <c r="AB34" s="108">
        <f t="shared" si="29"/>
        <v>0</v>
      </c>
      <c r="AC34" s="89">
        <f t="shared" si="30"/>
        <v>0</v>
      </c>
      <c r="AD34" s="92">
        <f t="shared" si="31"/>
        <v>0</v>
      </c>
      <c r="AE34" s="214"/>
      <c r="AF34" s="54"/>
      <c r="AI34" s="269"/>
      <c r="AJ34" s="260">
        <f t="shared" si="15"/>
        <v>0</v>
      </c>
      <c r="AK34" s="268"/>
      <c r="AL34" s="54"/>
    </row>
    <row r="35" spans="1:38" s="1" customFormat="1">
      <c r="A35" s="9">
        <v>5699</v>
      </c>
      <c r="B35" s="9" t="s">
        <v>110</v>
      </c>
      <c r="C35" s="43">
        <f>SUM(C22:C34)</f>
        <v>890.91959999999995</v>
      </c>
      <c r="D35" s="69">
        <f>C35/C12</f>
        <v>4.3288240181525769E-3</v>
      </c>
      <c r="E35" s="43">
        <f>SUM(E22:E34)</f>
        <v>726.43686540247677</v>
      </c>
      <c r="F35" s="69">
        <f t="shared" si="19"/>
        <v>4.5367894949310079E-3</v>
      </c>
      <c r="G35" s="43">
        <f>SUM(G22:G34)</f>
        <v>1106.1805571111977</v>
      </c>
      <c r="H35" s="69">
        <f>G35/G12</f>
        <v>4.1647468942805554E-3</v>
      </c>
      <c r="I35" s="43">
        <f>SUM(I22:I34)</f>
        <v>994.30194928580522</v>
      </c>
      <c r="J35" s="69">
        <f>I35/I12</f>
        <v>4.2395816099403605E-3</v>
      </c>
      <c r="K35" s="43">
        <f>SUM(K22:K34)</f>
        <v>922.20014240047317</v>
      </c>
      <c r="L35" s="69">
        <f>K35/K12</f>
        <v>4.2993005703435222E-3</v>
      </c>
      <c r="M35" s="23">
        <f>SUM(M22:M34)</f>
        <v>1244.9691106422647</v>
      </c>
      <c r="N35" s="69">
        <f>M35/M12</f>
        <v>4.0931645968380398E-3</v>
      </c>
      <c r="O35" s="23">
        <f>SUM(O22:O34)</f>
        <v>843.23646422117167</v>
      </c>
      <c r="P35" s="69">
        <f>O35/O12</f>
        <v>4.3789549855930794E-3</v>
      </c>
      <c r="Q35" s="43">
        <f>SUM(Q22:Q34)</f>
        <v>1010.8187808745307</v>
      </c>
      <c r="R35" s="69">
        <f>Q35/Q12</f>
        <v>4.2273097334742139E-3</v>
      </c>
      <c r="S35" s="43">
        <f>SUM(S22:S34)</f>
        <v>1017.1710000574367</v>
      </c>
      <c r="T35" s="69">
        <f>S35/S12</f>
        <v>4.2227145510680512E-3</v>
      </c>
      <c r="U35" s="43">
        <f>SUM(U22:U34)</f>
        <v>837.84569923561207</v>
      </c>
      <c r="V35" s="69">
        <f>U35/U12</f>
        <v>4.3850597897175051E-3</v>
      </c>
      <c r="W35" s="43">
        <f>SUM(W22:W34)</f>
        <v>849.84278016641645</v>
      </c>
      <c r="X35" s="69">
        <f>W35/W12</f>
        <v>4.3716018730258141E-3</v>
      </c>
      <c r="Y35" s="43">
        <f>SUM(Y22:Y34)</f>
        <v>1207.2269313146292</v>
      </c>
      <c r="Z35" s="69">
        <f>Y35/Y12</f>
        <v>4.1107701894507421E-3</v>
      </c>
      <c r="AA35" s="114">
        <f>SUM(AA22:AA34)</f>
        <v>11651.149880712013</v>
      </c>
      <c r="AB35" s="115">
        <f>AA35/AA12</f>
        <v>4.2577912303098202E-3</v>
      </c>
      <c r="AC35" s="98">
        <f>SUM(AC22:AC34)</f>
        <v>970.92915672600111</v>
      </c>
      <c r="AD35" s="99">
        <f>AC35/AC12</f>
        <v>4.2577912303098202E-3</v>
      </c>
      <c r="AE35" s="215"/>
      <c r="AF35" s="54"/>
      <c r="AI35" s="269"/>
      <c r="AJ35" s="260">
        <f t="shared" si="15"/>
        <v>59304.352892824143</v>
      </c>
      <c r="AK35" s="268"/>
      <c r="AL35" s="54"/>
    </row>
    <row r="36" spans="1:38" s="1" customFormat="1">
      <c r="A36" s="9">
        <v>5999</v>
      </c>
      <c r="B36" s="9" t="s">
        <v>111</v>
      </c>
      <c r="C36" s="59">
        <f>C21+C35</f>
        <v>106080.92169999999</v>
      </c>
      <c r="D36" s="69">
        <f>C36/C12</f>
        <v>0.51542882401815249</v>
      </c>
      <c r="E36" s="43">
        <f>E21+E35</f>
        <v>82868.690185255415</v>
      </c>
      <c r="F36" s="69">
        <f>E36/E12</f>
        <v>0.51753678949493098</v>
      </c>
      <c r="G36" s="43">
        <f>G21+G35</f>
        <v>148623.59206254428</v>
      </c>
      <c r="H36" s="69">
        <f>G36/G12</f>
        <v>0.55956474689428048</v>
      </c>
      <c r="I36" s="59">
        <f>I21+I35</f>
        <v>124309.29220886256</v>
      </c>
      <c r="J36" s="69">
        <f>I36/I12</f>
        <v>0.53003958160994025</v>
      </c>
      <c r="K36" s="43">
        <f>K21+K35</f>
        <v>98176.518076948953</v>
      </c>
      <c r="L36" s="69">
        <f>K36/K12</f>
        <v>0.45769930057034353</v>
      </c>
      <c r="M36" s="23">
        <f>M21+M35</f>
        <v>166311.56253996369</v>
      </c>
      <c r="N36" s="69">
        <f>M36/M12</f>
        <v>0.54679316459683813</v>
      </c>
      <c r="O36" s="23">
        <f>O21+O35</f>
        <v>101747.65514530284</v>
      </c>
      <c r="P36" s="69">
        <f>O36/O12</f>
        <v>0.52837895498559317</v>
      </c>
      <c r="Q36" s="43">
        <f>Q21+Q35</f>
        <v>139578.73086887193</v>
      </c>
      <c r="R36" s="69">
        <f>Q36/Q12</f>
        <v>0.58372730973347431</v>
      </c>
      <c r="S36" s="43">
        <f>S21+S35</f>
        <v>116519.53059104104</v>
      </c>
      <c r="T36" s="69">
        <f>S36/S12</f>
        <v>0.48372271455106813</v>
      </c>
      <c r="U36" s="43">
        <f>U21+U35</f>
        <v>91480.623398506272</v>
      </c>
      <c r="V36" s="69">
        <f>U36/U12</f>
        <v>0.47878505978971747</v>
      </c>
      <c r="W36" s="43">
        <f>W21+W35</f>
        <v>91732.203815666348</v>
      </c>
      <c r="X36" s="69">
        <f>W36/W12</f>
        <v>0.4718716018730259</v>
      </c>
      <c r="Y36" s="43">
        <f>Y21+Y35</f>
        <v>151656.49274033812</v>
      </c>
      <c r="Z36" s="69">
        <f>Y36/Y12</f>
        <v>0.5164107701894507</v>
      </c>
      <c r="AA36" s="114">
        <f>AA21+AA35</f>
        <v>1419085.8133333013</v>
      </c>
      <c r="AB36" s="115">
        <f>AA36/AA12</f>
        <v>0.51859011281540279</v>
      </c>
      <c r="AC36" s="98">
        <f>AC21+AC35</f>
        <v>118257.15111110845</v>
      </c>
      <c r="AD36" s="99">
        <f>AC36/AC12</f>
        <v>0.51859011281540279</v>
      </c>
      <c r="AE36" s="215"/>
      <c r="AF36" s="54"/>
      <c r="AI36" s="269"/>
      <c r="AJ36" s="260">
        <f t="shared" si="15"/>
        <v>7223146.7898665033</v>
      </c>
      <c r="AK36" s="268"/>
      <c r="AL36" s="54">
        <f>AL37/AB37</f>
        <v>-578856.760166188</v>
      </c>
    </row>
    <row r="37" spans="1:38" s="1" customFormat="1" ht="15.75" thickBot="1">
      <c r="A37" s="10"/>
      <c r="B37" s="10" t="s">
        <v>68</v>
      </c>
      <c r="C37" s="60">
        <f>(C16-C36)</f>
        <v>99730.078300000008</v>
      </c>
      <c r="D37" s="84">
        <f>C37/C12</f>
        <v>0.48457117598184746</v>
      </c>
      <c r="E37" s="60">
        <f>(E16-E36)</f>
        <v>77252.66131543259</v>
      </c>
      <c r="F37" s="70">
        <f>E37/E12</f>
        <v>0.48246321050506902</v>
      </c>
      <c r="G37" s="60">
        <f>(G16-G36)</f>
        <v>116982.11824612171</v>
      </c>
      <c r="H37" s="84">
        <f>G37/G12</f>
        <v>0.44043525310571946</v>
      </c>
      <c r="I37" s="60">
        <f>(I16-I36)</f>
        <v>110219.02703719445</v>
      </c>
      <c r="J37" s="70">
        <f>I37/I12</f>
        <v>0.4699604183900597</v>
      </c>
      <c r="K37" s="60">
        <f>(K16-K36)</f>
        <v>116323.52147873804</v>
      </c>
      <c r="L37" s="70">
        <f>K37/K12</f>
        <v>0.54230069942965653</v>
      </c>
      <c r="M37" s="24">
        <f>(M16-M36)</f>
        <v>137846.5237495543</v>
      </c>
      <c r="N37" s="70">
        <f>M37/M12</f>
        <v>0.45320683540316192</v>
      </c>
      <c r="O37" s="24">
        <f>(O16-O36)</f>
        <v>90818.029360578177</v>
      </c>
      <c r="P37" s="70">
        <f>O37/O12</f>
        <v>0.47162104501440683</v>
      </c>
      <c r="Q37" s="60">
        <f>(Q16-Q36)</f>
        <v>99537.597151831054</v>
      </c>
      <c r="R37" s="84">
        <f>Q37/Q12</f>
        <v>0.41627269026652569</v>
      </c>
      <c r="S37" s="60">
        <f>(S16-S36)</f>
        <v>124361.30275824694</v>
      </c>
      <c r="T37" s="70">
        <f>S37/S12</f>
        <v>0.51627728544893192</v>
      </c>
      <c r="U37" s="60">
        <f>(U16-U36)</f>
        <v>99587.626389163765</v>
      </c>
      <c r="V37" s="70">
        <f>U37/U12</f>
        <v>0.52121494021028247</v>
      </c>
      <c r="W37" s="44">
        <f>(W16-W36)</f>
        <v>102668.56845278267</v>
      </c>
      <c r="X37" s="84">
        <f>W37/W12</f>
        <v>0.5281283981269741</v>
      </c>
      <c r="Y37" s="44">
        <f>(Y16-Y36)</f>
        <v>142017.6548470589</v>
      </c>
      <c r="Z37" s="70">
        <f>Y37/Y12</f>
        <v>0.4835892298105493</v>
      </c>
      <c r="AA37" s="109">
        <f>(AA16-AA36)</f>
        <v>1317344.7090867027</v>
      </c>
      <c r="AB37" s="110">
        <f>AA37/AA12</f>
        <v>0.48140988718459726</v>
      </c>
      <c r="AC37" s="93">
        <f>(AC16-AC36)</f>
        <v>109778.72575722521</v>
      </c>
      <c r="AD37" s="94">
        <f>AC37/AC12</f>
        <v>0.48140988718459721</v>
      </c>
      <c r="AE37" s="223"/>
      <c r="AF37" s="219" t="s">
        <v>153</v>
      </c>
      <c r="AG37" s="209" t="s">
        <v>154</v>
      </c>
      <c r="AI37" s="269"/>
      <c r="AJ37" s="260">
        <f t="shared" si="15"/>
        <v>6705284.5692513157</v>
      </c>
      <c r="AK37" s="268"/>
      <c r="AL37" s="54">
        <v>-278667.36760764604</v>
      </c>
    </row>
    <row r="38" spans="1:38" s="1" customFormat="1" ht="15.75" thickTop="1">
      <c r="A38" s="2">
        <v>6002</v>
      </c>
      <c r="B38" s="2" t="s">
        <v>45</v>
      </c>
      <c r="C38" s="46"/>
      <c r="D38" s="49">
        <f t="shared" ref="D38:D50" si="34">C38/C$12</f>
        <v>0</v>
      </c>
      <c r="E38" s="46"/>
      <c r="F38" s="49">
        <f t="shared" ref="F38:F50" si="35">E38/E$12</f>
        <v>0</v>
      </c>
      <c r="G38" s="46"/>
      <c r="H38" s="49">
        <f t="shared" ref="H38:H50" si="36">G38/G$12</f>
        <v>0</v>
      </c>
      <c r="I38" s="46"/>
      <c r="J38" s="49">
        <f t="shared" ref="J38:J50" si="37">I38/I$12</f>
        <v>0</v>
      </c>
      <c r="K38" s="21"/>
      <c r="L38" s="49">
        <f t="shared" ref="L38:L50" si="38">K38/K$12</f>
        <v>0</v>
      </c>
      <c r="M38" s="21"/>
      <c r="N38" s="49">
        <f t="shared" ref="N38:N50" si="39">M38/M$12</f>
        <v>0</v>
      </c>
      <c r="O38" s="21"/>
      <c r="P38" s="49">
        <f>O38/O12</f>
        <v>0</v>
      </c>
      <c r="Q38" s="37"/>
      <c r="R38" s="49">
        <f t="shared" ref="R38:R50" si="40">Q38/Q$12</f>
        <v>0</v>
      </c>
      <c r="S38" s="37">
        <v>0</v>
      </c>
      <c r="T38" s="49">
        <f t="shared" ref="T38:T50" si="41">S38/S$12</f>
        <v>0</v>
      </c>
      <c r="U38" s="37"/>
      <c r="V38" s="49">
        <f>U38/U12</f>
        <v>0</v>
      </c>
      <c r="W38" s="37"/>
      <c r="X38" s="49">
        <f t="shared" ref="X38:X50" si="42">W38/W$12</f>
        <v>0</v>
      </c>
      <c r="Y38" s="37"/>
      <c r="Z38" s="49">
        <f t="shared" ref="Z38:Z50" si="43">Y38/Y$12</f>
        <v>0</v>
      </c>
      <c r="AA38" s="105">
        <f>C38+E38+G38+I38+K38+M38+O38+Q38+S38+U38+W38+Y38</f>
        <v>0</v>
      </c>
      <c r="AB38" s="108">
        <f t="shared" ref="AB38:AB69" si="44">AA38/AA$12</f>
        <v>0</v>
      </c>
      <c r="AC38" s="89">
        <f t="shared" ref="AC38:AC40" si="45">AA38/12</f>
        <v>0</v>
      </c>
      <c r="AD38" s="92">
        <f t="shared" ref="AD38:AD69" si="46">AC38/AC$12</f>
        <v>0</v>
      </c>
      <c r="AE38" s="214"/>
      <c r="AF38" s="54"/>
      <c r="AI38" s="269"/>
      <c r="AJ38" s="260">
        <f t="shared" si="15"/>
        <v>0</v>
      </c>
      <c r="AK38" s="268"/>
      <c r="AL38" s="54"/>
    </row>
    <row r="39" spans="1:38" s="1" customFormat="1">
      <c r="A39" s="2">
        <v>6003</v>
      </c>
      <c r="B39" s="2" t="s">
        <v>0</v>
      </c>
      <c r="C39" s="46"/>
      <c r="D39" s="49">
        <f t="shared" si="34"/>
        <v>0</v>
      </c>
      <c r="E39" s="46"/>
      <c r="F39" s="49">
        <f t="shared" si="35"/>
        <v>0</v>
      </c>
      <c r="G39" s="46"/>
      <c r="H39" s="49">
        <f t="shared" si="36"/>
        <v>0</v>
      </c>
      <c r="I39" s="46"/>
      <c r="J39" s="49">
        <f t="shared" si="37"/>
        <v>0</v>
      </c>
      <c r="K39" s="21"/>
      <c r="L39" s="49">
        <f t="shared" si="38"/>
        <v>0</v>
      </c>
      <c r="M39" s="21"/>
      <c r="N39" s="49">
        <f t="shared" si="39"/>
        <v>0</v>
      </c>
      <c r="O39" s="21"/>
      <c r="P39" s="49">
        <f t="shared" ref="P39" si="47">O39/O12</f>
        <v>0</v>
      </c>
      <c r="Q39" s="37">
        <v>0</v>
      </c>
      <c r="R39" s="49">
        <f t="shared" si="40"/>
        <v>0</v>
      </c>
      <c r="S39" s="37">
        <v>0</v>
      </c>
      <c r="T39" s="49">
        <f t="shared" si="41"/>
        <v>0</v>
      </c>
      <c r="U39" s="37"/>
      <c r="V39" s="49">
        <f t="shared" ref="V39" si="48">U39/U12</f>
        <v>0</v>
      </c>
      <c r="W39" s="37">
        <v>0</v>
      </c>
      <c r="X39" s="49">
        <f t="shared" si="42"/>
        <v>0</v>
      </c>
      <c r="Y39" s="37">
        <v>0</v>
      </c>
      <c r="Z39" s="49">
        <f t="shared" si="43"/>
        <v>0</v>
      </c>
      <c r="AA39" s="105">
        <f>C39+E39+G39+I39+K39+M39+O39+Q39+S39+U39+W39+Y39</f>
        <v>0</v>
      </c>
      <c r="AB39" s="108">
        <f t="shared" si="44"/>
        <v>0</v>
      </c>
      <c r="AC39" s="89">
        <f t="shared" si="45"/>
        <v>0</v>
      </c>
      <c r="AD39" s="92">
        <f t="shared" si="46"/>
        <v>0</v>
      </c>
      <c r="AE39" s="214"/>
      <c r="AF39" s="54"/>
      <c r="AI39" s="269"/>
      <c r="AJ39" s="260">
        <f t="shared" si="15"/>
        <v>0</v>
      </c>
      <c r="AK39" s="268"/>
      <c r="AL39" s="54"/>
    </row>
    <row r="40" spans="1:38" s="1" customFormat="1">
      <c r="A40" s="2">
        <v>6004</v>
      </c>
      <c r="B40" s="2" t="s">
        <v>1</v>
      </c>
      <c r="C40" s="46"/>
      <c r="D40" s="49">
        <f t="shared" si="34"/>
        <v>0</v>
      </c>
      <c r="E40" s="46"/>
      <c r="F40" s="49">
        <f t="shared" si="35"/>
        <v>0</v>
      </c>
      <c r="G40" s="46"/>
      <c r="H40" s="49">
        <f t="shared" si="36"/>
        <v>0</v>
      </c>
      <c r="I40" s="46"/>
      <c r="J40" s="49">
        <f t="shared" si="37"/>
        <v>0</v>
      </c>
      <c r="K40" s="21"/>
      <c r="L40" s="49">
        <f t="shared" si="38"/>
        <v>0</v>
      </c>
      <c r="M40" s="21"/>
      <c r="N40" s="49">
        <f t="shared" si="39"/>
        <v>0</v>
      </c>
      <c r="O40" s="21"/>
      <c r="P40" s="49">
        <f>O40/O16</f>
        <v>0</v>
      </c>
      <c r="Q40" s="37"/>
      <c r="R40" s="49">
        <f t="shared" si="40"/>
        <v>0</v>
      </c>
      <c r="S40" s="37">
        <v>0</v>
      </c>
      <c r="T40" s="49">
        <f t="shared" si="41"/>
        <v>0</v>
      </c>
      <c r="U40" s="37"/>
      <c r="V40" s="49">
        <f>U40/U16</f>
        <v>0</v>
      </c>
      <c r="W40" s="37"/>
      <c r="X40" s="49">
        <f t="shared" si="42"/>
        <v>0</v>
      </c>
      <c r="Y40" s="37"/>
      <c r="Z40" s="49">
        <f t="shared" si="43"/>
        <v>0</v>
      </c>
      <c r="AA40" s="105">
        <f>C40+E40+G40+I40+K40+M40+O40+Q40+S40+U40+W40+Y40</f>
        <v>0</v>
      </c>
      <c r="AB40" s="108">
        <f t="shared" si="44"/>
        <v>0</v>
      </c>
      <c r="AC40" s="89">
        <f t="shared" si="45"/>
        <v>0</v>
      </c>
      <c r="AD40" s="92">
        <f t="shared" si="46"/>
        <v>0</v>
      </c>
      <c r="AE40" s="214"/>
      <c r="AF40" s="54"/>
      <c r="AI40" s="269"/>
      <c r="AJ40" s="260">
        <f t="shared" si="15"/>
        <v>0</v>
      </c>
      <c r="AK40" s="268"/>
      <c r="AL40" s="54"/>
    </row>
    <row r="41" spans="1:38" s="1" customFormat="1" ht="15.75" thickBot="1">
      <c r="A41" s="53">
        <v>6099</v>
      </c>
      <c r="B41" s="53" t="s">
        <v>112</v>
      </c>
      <c r="C41" s="164">
        <f>SUM(C38:C40)</f>
        <v>0</v>
      </c>
      <c r="D41" s="83">
        <f t="shared" si="34"/>
        <v>0</v>
      </c>
      <c r="E41" s="164">
        <f>SUM(E38:E40)</f>
        <v>0</v>
      </c>
      <c r="F41" s="83">
        <f t="shared" si="35"/>
        <v>0</v>
      </c>
      <c r="G41" s="164">
        <f>SUM(G38:G40)</f>
        <v>0</v>
      </c>
      <c r="H41" s="83">
        <f t="shared" si="36"/>
        <v>0</v>
      </c>
      <c r="I41" s="164">
        <f>SUM(I38:I40)</f>
        <v>0</v>
      </c>
      <c r="J41" s="83">
        <f t="shared" si="37"/>
        <v>0</v>
      </c>
      <c r="K41" s="164">
        <f>SUM(K38:K40)</f>
        <v>0</v>
      </c>
      <c r="L41" s="83">
        <f t="shared" si="38"/>
        <v>0</v>
      </c>
      <c r="M41" s="51">
        <f>SUM(M38:M40)</f>
        <v>0</v>
      </c>
      <c r="N41" s="83">
        <f t="shared" si="39"/>
        <v>0</v>
      </c>
      <c r="O41" s="51">
        <f>SUM(O38:O40)</f>
        <v>0</v>
      </c>
      <c r="P41" s="83">
        <f t="shared" ref="P41:P50" si="49">O41/O$12</f>
        <v>0</v>
      </c>
      <c r="Q41" s="164">
        <f>SUM(Q38:Q40)</f>
        <v>0</v>
      </c>
      <c r="R41" s="83">
        <f t="shared" si="40"/>
        <v>0</v>
      </c>
      <c r="S41" s="164">
        <f>SUM(S38:S40)</f>
        <v>0</v>
      </c>
      <c r="T41" s="83">
        <f t="shared" si="41"/>
        <v>0</v>
      </c>
      <c r="U41" s="164">
        <f>SUM(U38:U40)</f>
        <v>0</v>
      </c>
      <c r="V41" s="83">
        <f t="shared" ref="V41:V50" si="50">U41/U$12</f>
        <v>0</v>
      </c>
      <c r="W41" s="164">
        <f>SUM(W38:W40)</f>
        <v>0</v>
      </c>
      <c r="X41" s="83">
        <f t="shared" si="42"/>
        <v>0</v>
      </c>
      <c r="Y41" s="164">
        <f>SUM(Y38:Y40)</f>
        <v>0</v>
      </c>
      <c r="Z41" s="83">
        <f t="shared" si="43"/>
        <v>0</v>
      </c>
      <c r="AA41" s="109">
        <f>SUM(AA38:AA40)</f>
        <v>0</v>
      </c>
      <c r="AB41" s="163">
        <f t="shared" si="44"/>
        <v>0</v>
      </c>
      <c r="AC41" s="93">
        <f>SUM(AC38:AC40)</f>
        <v>0</v>
      </c>
      <c r="AD41" s="163">
        <f t="shared" si="46"/>
        <v>0</v>
      </c>
      <c r="AE41" s="227"/>
      <c r="AF41" s="219"/>
      <c r="AG41" s="209"/>
      <c r="AI41" s="269"/>
      <c r="AJ41" s="260">
        <f t="shared" si="15"/>
        <v>0</v>
      </c>
      <c r="AK41" s="268"/>
      <c r="AL41" s="54"/>
    </row>
    <row r="42" spans="1:38" s="1" customFormat="1" ht="15.75" thickTop="1">
      <c r="A42" s="128">
        <v>6101</v>
      </c>
      <c r="B42" s="2" t="s">
        <v>2</v>
      </c>
      <c r="C42" s="46">
        <v>33627.67</v>
      </c>
      <c r="D42" s="49">
        <f t="shared" si="34"/>
        <v>0.16339102380339243</v>
      </c>
      <c r="E42" s="46">
        <v>33627.67</v>
      </c>
      <c r="F42" s="49">
        <f t="shared" si="35"/>
        <v>0.21001365330004418</v>
      </c>
      <c r="G42" s="46">
        <v>33627.67</v>
      </c>
      <c r="H42" s="49">
        <f t="shared" si="36"/>
        <v>0.12660748129594268</v>
      </c>
      <c r="I42" s="46">
        <v>33627.67</v>
      </c>
      <c r="J42" s="49">
        <f t="shared" si="37"/>
        <v>0.14338426211428776</v>
      </c>
      <c r="K42" s="46">
        <v>33627.67</v>
      </c>
      <c r="L42" s="49">
        <f t="shared" si="38"/>
        <v>0.15677232540215835</v>
      </c>
      <c r="M42" s="46">
        <v>33627.67</v>
      </c>
      <c r="N42" s="49">
        <f t="shared" si="39"/>
        <v>0.11055984212101774</v>
      </c>
      <c r="O42" s="46">
        <v>33627.67</v>
      </c>
      <c r="P42" s="49">
        <f t="shared" si="49"/>
        <v>0.1746296080025255</v>
      </c>
      <c r="Q42" s="46">
        <v>33627.67</v>
      </c>
      <c r="R42" s="49">
        <f t="shared" si="40"/>
        <v>0.14063309803372553</v>
      </c>
      <c r="S42" s="46">
        <v>33627.67</v>
      </c>
      <c r="T42" s="49">
        <f t="shared" si="41"/>
        <v>0.1396029295167639</v>
      </c>
      <c r="U42" s="46">
        <v>33627.666666666664</v>
      </c>
      <c r="V42" s="49">
        <f t="shared" si="50"/>
        <v>0.17599819281349127</v>
      </c>
      <c r="W42" s="46">
        <v>33627.666666666664</v>
      </c>
      <c r="X42" s="49">
        <f t="shared" si="42"/>
        <v>0.1729811372365849</v>
      </c>
      <c r="Y42" s="46">
        <v>33627.666666666664</v>
      </c>
      <c r="Z42" s="49">
        <f t="shared" si="43"/>
        <v>0.11450673116079826</v>
      </c>
      <c r="AA42" s="105">
        <f t="shared" ref="AA42:AA75" si="51">C42+E42+G42+I42+K42+M42+O42+Q42+S42+U42+W42+Y42</f>
        <v>403532.02999999997</v>
      </c>
      <c r="AB42" s="108">
        <f t="shared" si="44"/>
        <v>0.14746657249062192</v>
      </c>
      <c r="AC42" s="89">
        <f t="shared" ref="AC42:AC75" si="52">AA42/12</f>
        <v>33627.669166666667</v>
      </c>
      <c r="AD42" s="92">
        <f t="shared" si="46"/>
        <v>0.14746657249062195</v>
      </c>
      <c r="AE42" s="214" t="s">
        <v>155</v>
      </c>
      <c r="AF42" s="54"/>
      <c r="AI42" s="269"/>
      <c r="AJ42" s="260">
        <f t="shared" si="15"/>
        <v>2053978.0326999999</v>
      </c>
      <c r="AK42" s="268" t="s">
        <v>199</v>
      </c>
      <c r="AL42" s="54" t="s">
        <v>238</v>
      </c>
    </row>
    <row r="43" spans="1:38" s="1" customFormat="1">
      <c r="A43" s="128">
        <v>6102</v>
      </c>
      <c r="B43" s="2" t="s">
        <v>3</v>
      </c>
      <c r="C43" s="55">
        <f>7072.49*1.15</f>
        <v>8133.3634999999995</v>
      </c>
      <c r="D43" s="49">
        <f t="shared" si="34"/>
        <v>3.9518604447770042E-2</v>
      </c>
      <c r="E43" s="55">
        <f>7357.13*1.15</f>
        <v>8460.6994999999988</v>
      </c>
      <c r="F43" s="49">
        <f t="shared" si="35"/>
        <v>5.2839296075786898E-2</v>
      </c>
      <c r="G43" s="302">
        <f>6841.53*1.15</f>
        <v>7867.7594999999992</v>
      </c>
      <c r="H43" s="49">
        <f t="shared" si="36"/>
        <v>2.962195161714223E-2</v>
      </c>
      <c r="I43" s="55">
        <f>7770.45*1.15</f>
        <v>8936.0174999999999</v>
      </c>
      <c r="J43" s="49">
        <f t="shared" si="37"/>
        <v>3.8102083060701578E-2</v>
      </c>
      <c r="K43" s="25">
        <f>7419.92*1.15</f>
        <v>8532.9079999999994</v>
      </c>
      <c r="L43" s="49">
        <f t="shared" si="38"/>
        <v>3.9780449540592025E-2</v>
      </c>
      <c r="M43" s="25">
        <f>8135.91*1.15</f>
        <v>9356.2964999999986</v>
      </c>
      <c r="N43" s="49">
        <f t="shared" si="39"/>
        <v>3.0761294608797778E-2</v>
      </c>
      <c r="O43" s="25">
        <f>7770.46*1.15</f>
        <v>8936.0289999999986</v>
      </c>
      <c r="P43" s="49">
        <f t="shared" si="49"/>
        <v>4.6405095606362252E-2</v>
      </c>
      <c r="Q43" s="55">
        <f>8329.37*1.15</f>
        <v>9578.7754999999997</v>
      </c>
      <c r="R43" s="49">
        <f t="shared" si="40"/>
        <v>4.0059060706095558E-2</v>
      </c>
      <c r="S43" s="36">
        <f>9874.52*1.15</f>
        <v>11355.698</v>
      </c>
      <c r="T43" s="49">
        <f t="shared" si="41"/>
        <v>4.7142389214229141E-2</v>
      </c>
      <c r="U43" s="36">
        <f>8483.9*1.15</f>
        <v>9756.4849999999988</v>
      </c>
      <c r="V43" s="49">
        <f t="shared" si="50"/>
        <v>5.1062827083213289E-2</v>
      </c>
      <c r="W43" s="36">
        <f>8483.9*1.15</f>
        <v>9756.4849999999988</v>
      </c>
      <c r="X43" s="49">
        <f t="shared" si="42"/>
        <v>5.0187480667655063E-2</v>
      </c>
      <c r="Y43" s="36">
        <f>8483.9*1.15</f>
        <v>9756.4849999999988</v>
      </c>
      <c r="Z43" s="49">
        <f t="shared" si="43"/>
        <v>3.3222144612155495E-2</v>
      </c>
      <c r="AA43" s="105">
        <f t="shared" si="51"/>
        <v>110427.00199999999</v>
      </c>
      <c r="AB43" s="108">
        <f t="shared" si="44"/>
        <v>4.0354396391669461E-2</v>
      </c>
      <c r="AC43" s="89">
        <f t="shared" si="52"/>
        <v>9202.2501666666667</v>
      </c>
      <c r="AD43" s="92">
        <f t="shared" si="46"/>
        <v>4.0354396391669468E-2</v>
      </c>
      <c r="AE43" s="214" t="s">
        <v>287</v>
      </c>
      <c r="AF43" s="54"/>
      <c r="AG43" s="289" t="s">
        <v>230</v>
      </c>
      <c r="AI43" s="269" t="s">
        <v>200</v>
      </c>
      <c r="AJ43" s="260">
        <f t="shared" si="15"/>
        <v>562073.44017999992</v>
      </c>
      <c r="AK43" s="268" t="s">
        <v>210</v>
      </c>
      <c r="AL43" s="54"/>
    </row>
    <row r="44" spans="1:38" s="1" customFormat="1">
      <c r="A44" s="128">
        <v>6103</v>
      </c>
      <c r="B44" s="2" t="s">
        <v>4</v>
      </c>
      <c r="C44" s="46"/>
      <c r="D44" s="49">
        <f t="shared" si="34"/>
        <v>0</v>
      </c>
      <c r="E44" s="46"/>
      <c r="F44" s="49">
        <f t="shared" si="35"/>
        <v>0</v>
      </c>
      <c r="G44" s="289"/>
      <c r="H44" s="49">
        <f t="shared" si="36"/>
        <v>0</v>
      </c>
      <c r="I44" s="46"/>
      <c r="J44" s="49">
        <f t="shared" si="37"/>
        <v>0</v>
      </c>
      <c r="K44" s="46"/>
      <c r="L44" s="49">
        <f t="shared" si="38"/>
        <v>0</v>
      </c>
      <c r="M44" s="46"/>
      <c r="N44" s="49">
        <f t="shared" si="39"/>
        <v>0</v>
      </c>
      <c r="O44" s="46">
        <v>0</v>
      </c>
      <c r="P44" s="49">
        <f t="shared" si="49"/>
        <v>0</v>
      </c>
      <c r="Q44" s="46">
        <v>0</v>
      </c>
      <c r="R44" s="49">
        <f t="shared" si="40"/>
        <v>0</v>
      </c>
      <c r="S44" s="46">
        <v>0</v>
      </c>
      <c r="T44" s="49">
        <f t="shared" si="41"/>
        <v>0</v>
      </c>
      <c r="U44" s="46">
        <v>0</v>
      </c>
      <c r="V44" s="49">
        <f t="shared" si="50"/>
        <v>0</v>
      </c>
      <c r="W44" s="46">
        <v>0</v>
      </c>
      <c r="X44" s="49">
        <f t="shared" si="42"/>
        <v>0</v>
      </c>
      <c r="Y44" s="46">
        <v>0</v>
      </c>
      <c r="Z44" s="49">
        <f t="shared" si="43"/>
        <v>0</v>
      </c>
      <c r="AA44" s="105">
        <f t="shared" si="51"/>
        <v>0</v>
      </c>
      <c r="AB44" s="108">
        <f t="shared" si="44"/>
        <v>0</v>
      </c>
      <c r="AC44" s="266">
        <f t="shared" si="52"/>
        <v>0</v>
      </c>
      <c r="AD44" s="92">
        <f t="shared" si="46"/>
        <v>0</v>
      </c>
      <c r="AE44" s="214"/>
      <c r="AF44" s="54"/>
      <c r="AI44" s="269" t="s">
        <v>119</v>
      </c>
      <c r="AJ44" s="260">
        <f t="shared" si="15"/>
        <v>0</v>
      </c>
      <c r="AK44" s="268" t="s">
        <v>201</v>
      </c>
      <c r="AL44" s="54"/>
    </row>
    <row r="45" spans="1:38" s="1" customFormat="1">
      <c r="A45" s="128">
        <v>6104</v>
      </c>
      <c r="B45" s="2" t="s">
        <v>5</v>
      </c>
      <c r="C45" s="55">
        <v>300</v>
      </c>
      <c r="D45" s="49">
        <f t="shared" si="34"/>
        <v>1.4576480363051537E-3</v>
      </c>
      <c r="E45" s="55">
        <v>300</v>
      </c>
      <c r="F45" s="49">
        <f t="shared" si="35"/>
        <v>1.8735789898620171E-3</v>
      </c>
      <c r="G45" s="55">
        <v>300</v>
      </c>
      <c r="H45" s="49">
        <f t="shared" si="36"/>
        <v>1.1294937885611106E-3</v>
      </c>
      <c r="I45" s="55">
        <v>300</v>
      </c>
      <c r="J45" s="49">
        <f t="shared" si="37"/>
        <v>1.2791632198807211E-3</v>
      </c>
      <c r="K45" s="55">
        <v>300</v>
      </c>
      <c r="L45" s="49">
        <f t="shared" si="38"/>
        <v>1.3986011406870444E-3</v>
      </c>
      <c r="M45" s="55">
        <v>300</v>
      </c>
      <c r="N45" s="49">
        <f t="shared" si="39"/>
        <v>9.8632919367608058E-4</v>
      </c>
      <c r="O45" s="55">
        <v>300</v>
      </c>
      <c r="P45" s="49">
        <f t="shared" si="49"/>
        <v>1.5579099711861585E-3</v>
      </c>
      <c r="Q45" s="55">
        <v>300</v>
      </c>
      <c r="R45" s="49">
        <f t="shared" si="40"/>
        <v>1.2546194669484287E-3</v>
      </c>
      <c r="S45" s="55">
        <v>300</v>
      </c>
      <c r="T45" s="49">
        <f t="shared" si="41"/>
        <v>1.2454291021361031E-3</v>
      </c>
      <c r="U45" s="55">
        <v>300</v>
      </c>
      <c r="V45" s="49">
        <f t="shared" si="50"/>
        <v>1.5701195794350104E-3</v>
      </c>
      <c r="W45" s="55">
        <v>300</v>
      </c>
      <c r="X45" s="49">
        <f t="shared" si="42"/>
        <v>1.5432037460516282E-3</v>
      </c>
      <c r="Y45" s="55">
        <v>300</v>
      </c>
      <c r="Z45" s="49">
        <f t="shared" si="43"/>
        <v>1.0215403789014844E-3</v>
      </c>
      <c r="AA45" s="105">
        <f t="shared" si="51"/>
        <v>3600</v>
      </c>
      <c r="AB45" s="108">
        <f t="shared" si="44"/>
        <v>1.3155824606196414E-3</v>
      </c>
      <c r="AC45" s="89">
        <f t="shared" si="52"/>
        <v>300</v>
      </c>
      <c r="AD45" s="92">
        <f t="shared" si="46"/>
        <v>1.3155824606196414E-3</v>
      </c>
      <c r="AE45" s="214" t="s">
        <v>287</v>
      </c>
      <c r="AF45" s="54">
        <v>2200</v>
      </c>
      <c r="AG45" s="5" t="s">
        <v>288</v>
      </c>
      <c r="AI45" s="269"/>
      <c r="AJ45" s="260">
        <f t="shared" si="15"/>
        <v>18324</v>
      </c>
      <c r="AK45" s="268"/>
      <c r="AL45" s="54"/>
    </row>
    <row r="46" spans="1:38" s="1" customFormat="1">
      <c r="A46" s="128">
        <v>6105</v>
      </c>
      <c r="B46" s="2" t="s">
        <v>39</v>
      </c>
      <c r="C46" s="280">
        <v>750</v>
      </c>
      <c r="D46" s="108">
        <f t="shared" si="34"/>
        <v>3.6441200907628844E-3</v>
      </c>
      <c r="E46" s="280">
        <v>750</v>
      </c>
      <c r="F46" s="108">
        <f t="shared" si="35"/>
        <v>4.6839474746550426E-3</v>
      </c>
      <c r="G46" s="280">
        <v>750</v>
      </c>
      <c r="H46" s="108">
        <f t="shared" si="36"/>
        <v>2.8237344714027767E-3</v>
      </c>
      <c r="I46" s="280">
        <v>750</v>
      </c>
      <c r="J46" s="108">
        <f t="shared" si="37"/>
        <v>3.1979080497018027E-3</v>
      </c>
      <c r="K46" s="280">
        <v>750</v>
      </c>
      <c r="L46" s="108">
        <f t="shared" si="38"/>
        <v>3.4965028517176112E-3</v>
      </c>
      <c r="M46" s="280">
        <v>750</v>
      </c>
      <c r="N46" s="108">
        <f t="shared" si="39"/>
        <v>2.4658229841902015E-3</v>
      </c>
      <c r="O46" s="280">
        <v>750</v>
      </c>
      <c r="P46" s="108">
        <f t="shared" si="49"/>
        <v>3.8947749279653965E-3</v>
      </c>
      <c r="Q46" s="280">
        <v>750</v>
      </c>
      <c r="R46" s="108">
        <f t="shared" si="40"/>
        <v>3.1365486673710715E-3</v>
      </c>
      <c r="S46" s="280">
        <v>750</v>
      </c>
      <c r="T46" s="108">
        <f t="shared" si="41"/>
        <v>3.1135727553402576E-3</v>
      </c>
      <c r="U46" s="280">
        <v>750</v>
      </c>
      <c r="V46" s="108">
        <f t="shared" si="50"/>
        <v>3.925298948587526E-3</v>
      </c>
      <c r="W46" s="280">
        <v>750</v>
      </c>
      <c r="X46" s="144">
        <f t="shared" si="42"/>
        <v>3.8580093651290706E-3</v>
      </c>
      <c r="Y46" s="280">
        <v>750</v>
      </c>
      <c r="Z46" s="49">
        <f t="shared" si="43"/>
        <v>2.5538509472537111E-3</v>
      </c>
      <c r="AA46" s="105">
        <f t="shared" si="51"/>
        <v>9000</v>
      </c>
      <c r="AB46" s="108">
        <f t="shared" si="44"/>
        <v>3.288956151549104E-3</v>
      </c>
      <c r="AC46" s="89">
        <f t="shared" si="52"/>
        <v>750</v>
      </c>
      <c r="AD46" s="92">
        <f t="shared" si="46"/>
        <v>3.288956151549104E-3</v>
      </c>
      <c r="AE46" s="214" t="s">
        <v>287</v>
      </c>
      <c r="AF46" s="54">
        <v>6150</v>
      </c>
      <c r="AG46" s="289" t="s">
        <v>289</v>
      </c>
      <c r="AI46" s="269"/>
      <c r="AJ46" s="260">
        <f t="shared" si="15"/>
        <v>45810</v>
      </c>
      <c r="AK46" s="268"/>
      <c r="AL46" s="54"/>
    </row>
    <row r="47" spans="1:38" s="1" customFormat="1">
      <c r="A47" s="128">
        <v>6106</v>
      </c>
      <c r="B47" s="2" t="s">
        <v>6</v>
      </c>
      <c r="C47" s="55"/>
      <c r="D47" s="49">
        <f t="shared" si="34"/>
        <v>0</v>
      </c>
      <c r="E47" s="55"/>
      <c r="F47" s="49">
        <f t="shared" si="35"/>
        <v>0</v>
      </c>
      <c r="G47" s="289"/>
      <c r="H47" s="49">
        <f t="shared" si="36"/>
        <v>0</v>
      </c>
      <c r="I47" s="55"/>
      <c r="J47" s="49">
        <f t="shared" si="37"/>
        <v>0</v>
      </c>
      <c r="K47" s="55"/>
      <c r="L47" s="49">
        <f t="shared" si="38"/>
        <v>0</v>
      </c>
      <c r="M47" s="55"/>
      <c r="N47" s="49">
        <f t="shared" si="39"/>
        <v>0</v>
      </c>
      <c r="O47" s="55">
        <v>0</v>
      </c>
      <c r="P47" s="49">
        <f t="shared" si="49"/>
        <v>0</v>
      </c>
      <c r="Q47" s="55">
        <v>0</v>
      </c>
      <c r="R47" s="49">
        <f t="shared" si="40"/>
        <v>0</v>
      </c>
      <c r="S47" s="55">
        <v>0</v>
      </c>
      <c r="T47" s="49">
        <f t="shared" si="41"/>
        <v>0</v>
      </c>
      <c r="U47" s="55">
        <v>0</v>
      </c>
      <c r="V47" s="49">
        <f t="shared" si="50"/>
        <v>0</v>
      </c>
      <c r="W47" s="55">
        <v>0</v>
      </c>
      <c r="X47" s="49">
        <f t="shared" si="42"/>
        <v>0</v>
      </c>
      <c r="Y47" s="55">
        <v>0</v>
      </c>
      <c r="Z47" s="49">
        <f t="shared" si="43"/>
        <v>0</v>
      </c>
      <c r="AA47" s="105">
        <f t="shared" si="51"/>
        <v>0</v>
      </c>
      <c r="AB47" s="108">
        <f t="shared" si="44"/>
        <v>0</v>
      </c>
      <c r="AC47" s="89">
        <f t="shared" si="52"/>
        <v>0</v>
      </c>
      <c r="AD47" s="92">
        <f t="shared" si="46"/>
        <v>0</v>
      </c>
      <c r="AE47" s="214"/>
      <c r="AF47" s="54"/>
      <c r="AI47" s="269"/>
      <c r="AJ47" s="260">
        <f t="shared" si="15"/>
        <v>0</v>
      </c>
      <c r="AK47" s="268"/>
      <c r="AL47" s="54"/>
    </row>
    <row r="48" spans="1:38" s="1" customFormat="1">
      <c r="A48" s="128">
        <v>6107</v>
      </c>
      <c r="B48" s="2" t="s">
        <v>7</v>
      </c>
      <c r="C48" s="55"/>
      <c r="D48" s="49">
        <f t="shared" si="34"/>
        <v>0</v>
      </c>
      <c r="E48" s="55"/>
      <c r="F48" s="49">
        <f t="shared" si="35"/>
        <v>0</v>
      </c>
      <c r="G48" s="289"/>
      <c r="H48" s="49">
        <f t="shared" si="36"/>
        <v>0</v>
      </c>
      <c r="I48" s="55"/>
      <c r="J48" s="49">
        <f t="shared" si="37"/>
        <v>0</v>
      </c>
      <c r="K48" s="55"/>
      <c r="L48" s="49">
        <f t="shared" si="38"/>
        <v>0</v>
      </c>
      <c r="M48" s="55"/>
      <c r="N48" s="49">
        <f t="shared" si="39"/>
        <v>0</v>
      </c>
      <c r="O48" s="55">
        <v>0</v>
      </c>
      <c r="P48" s="49">
        <f t="shared" si="49"/>
        <v>0</v>
      </c>
      <c r="Q48" s="55">
        <v>0</v>
      </c>
      <c r="R48" s="49">
        <f t="shared" si="40"/>
        <v>0</v>
      </c>
      <c r="S48" s="55">
        <v>0</v>
      </c>
      <c r="T48" s="49">
        <f t="shared" si="41"/>
        <v>0</v>
      </c>
      <c r="U48" s="55">
        <v>0</v>
      </c>
      <c r="V48" s="49">
        <f t="shared" si="50"/>
        <v>0</v>
      </c>
      <c r="W48" s="55">
        <v>0</v>
      </c>
      <c r="X48" s="49">
        <f t="shared" si="42"/>
        <v>0</v>
      </c>
      <c r="Y48" s="55">
        <v>0</v>
      </c>
      <c r="Z48" s="49">
        <f t="shared" si="43"/>
        <v>0</v>
      </c>
      <c r="AA48" s="105">
        <f t="shared" si="51"/>
        <v>0</v>
      </c>
      <c r="AB48" s="108">
        <f t="shared" si="44"/>
        <v>0</v>
      </c>
      <c r="AC48" s="89">
        <f t="shared" si="52"/>
        <v>0</v>
      </c>
      <c r="AD48" s="92">
        <f t="shared" si="46"/>
        <v>0</v>
      </c>
      <c r="AE48" s="214"/>
      <c r="AF48" s="54"/>
      <c r="AI48" s="269"/>
      <c r="AJ48" s="260">
        <f t="shared" si="15"/>
        <v>0</v>
      </c>
      <c r="AK48" s="268"/>
      <c r="AL48" s="54"/>
    </row>
    <row r="49" spans="1:38" s="1" customFormat="1">
      <c r="A49" s="128">
        <v>6108</v>
      </c>
      <c r="B49" s="128" t="s">
        <v>8</v>
      </c>
      <c r="C49" s="55"/>
      <c r="D49" s="49">
        <f t="shared" si="34"/>
        <v>0</v>
      </c>
      <c r="E49" s="55"/>
      <c r="F49" s="49">
        <f t="shared" si="35"/>
        <v>0</v>
      </c>
      <c r="G49" s="289"/>
      <c r="H49" s="49">
        <f t="shared" si="36"/>
        <v>0</v>
      </c>
      <c r="I49" s="55"/>
      <c r="J49" s="49">
        <f t="shared" si="37"/>
        <v>0</v>
      </c>
      <c r="K49" s="55"/>
      <c r="L49" s="49">
        <f t="shared" si="38"/>
        <v>0</v>
      </c>
      <c r="M49" s="55"/>
      <c r="N49" s="49">
        <f t="shared" si="39"/>
        <v>0</v>
      </c>
      <c r="O49" s="55">
        <v>0</v>
      </c>
      <c r="P49" s="49">
        <f t="shared" si="49"/>
        <v>0</v>
      </c>
      <c r="Q49" s="55">
        <v>0</v>
      </c>
      <c r="R49" s="49">
        <f t="shared" si="40"/>
        <v>0</v>
      </c>
      <c r="S49" s="55">
        <v>0</v>
      </c>
      <c r="T49" s="49">
        <f t="shared" si="41"/>
        <v>0</v>
      </c>
      <c r="U49" s="55">
        <v>0</v>
      </c>
      <c r="V49" s="49">
        <f t="shared" si="50"/>
        <v>0</v>
      </c>
      <c r="W49" s="55">
        <v>0</v>
      </c>
      <c r="X49" s="49">
        <f t="shared" si="42"/>
        <v>0</v>
      </c>
      <c r="Y49" s="55">
        <v>0</v>
      </c>
      <c r="Z49" s="49">
        <f t="shared" si="43"/>
        <v>0</v>
      </c>
      <c r="AA49" s="105">
        <f t="shared" si="51"/>
        <v>0</v>
      </c>
      <c r="AB49" s="108">
        <f t="shared" si="44"/>
        <v>0</v>
      </c>
      <c r="AC49" s="89">
        <f t="shared" si="52"/>
        <v>0</v>
      </c>
      <c r="AD49" s="92">
        <f t="shared" si="46"/>
        <v>0</v>
      </c>
      <c r="AE49" s="214"/>
      <c r="AF49" s="54"/>
      <c r="AI49" s="269"/>
      <c r="AJ49" s="260">
        <f t="shared" si="15"/>
        <v>0</v>
      </c>
      <c r="AK49" s="268"/>
      <c r="AL49" s="54"/>
    </row>
    <row r="50" spans="1:38" s="1" customFormat="1">
      <c r="A50" s="128">
        <v>6109</v>
      </c>
      <c r="B50" s="128" t="s">
        <v>79</v>
      </c>
      <c r="C50" s="55"/>
      <c r="D50" s="49">
        <f t="shared" si="34"/>
        <v>0</v>
      </c>
      <c r="E50" s="55"/>
      <c r="F50" s="49">
        <f t="shared" si="35"/>
        <v>0</v>
      </c>
      <c r="G50" s="289"/>
      <c r="H50" s="49">
        <f t="shared" si="36"/>
        <v>0</v>
      </c>
      <c r="I50" s="55"/>
      <c r="J50" s="49">
        <f t="shared" si="37"/>
        <v>0</v>
      </c>
      <c r="K50" s="55"/>
      <c r="L50" s="49">
        <f t="shared" si="38"/>
        <v>0</v>
      </c>
      <c r="M50" s="55"/>
      <c r="N50" s="49">
        <f t="shared" si="39"/>
        <v>0</v>
      </c>
      <c r="O50" s="55"/>
      <c r="P50" s="49">
        <f t="shared" si="49"/>
        <v>0</v>
      </c>
      <c r="Q50" s="55"/>
      <c r="R50" s="49">
        <f t="shared" si="40"/>
        <v>0</v>
      </c>
      <c r="S50" s="55">
        <v>0</v>
      </c>
      <c r="T50" s="49">
        <f t="shared" si="41"/>
        <v>0</v>
      </c>
      <c r="U50" s="55"/>
      <c r="V50" s="49">
        <f t="shared" si="50"/>
        <v>0</v>
      </c>
      <c r="W50" s="55"/>
      <c r="X50" s="49">
        <f t="shared" si="42"/>
        <v>0</v>
      </c>
      <c r="Y50" s="55"/>
      <c r="Z50" s="49">
        <f t="shared" si="43"/>
        <v>0</v>
      </c>
      <c r="AA50" s="105">
        <f t="shared" si="51"/>
        <v>0</v>
      </c>
      <c r="AB50" s="108">
        <f t="shared" si="44"/>
        <v>0</v>
      </c>
      <c r="AC50" s="89">
        <f t="shared" si="52"/>
        <v>0</v>
      </c>
      <c r="AD50" s="92">
        <f t="shared" si="46"/>
        <v>0</v>
      </c>
      <c r="AE50" s="214"/>
      <c r="AF50" s="54"/>
      <c r="AI50" s="269"/>
      <c r="AJ50" s="260">
        <f t="shared" si="15"/>
        <v>0</v>
      </c>
      <c r="AK50" s="268"/>
      <c r="AL50" s="54"/>
    </row>
    <row r="51" spans="1:38" s="1" customFormat="1">
      <c r="A51" s="128">
        <v>6110</v>
      </c>
      <c r="B51" s="2" t="s">
        <v>9</v>
      </c>
      <c r="C51" s="55">
        <v>75</v>
      </c>
      <c r="D51" s="49">
        <f t="shared" ref="D51" si="53">C127/C$12</f>
        <v>4.8588267876838458E-4</v>
      </c>
      <c r="E51" s="55">
        <v>75</v>
      </c>
      <c r="F51" s="49">
        <f t="shared" ref="F51" si="54">E127/E$12</f>
        <v>6.2452632995400566E-4</v>
      </c>
      <c r="G51" s="55">
        <v>75</v>
      </c>
      <c r="H51" s="49">
        <f t="shared" ref="H51" si="55">G127/G$12</f>
        <v>3.7649792952037023E-4</v>
      </c>
      <c r="I51" s="55">
        <v>75</v>
      </c>
      <c r="J51" s="49">
        <f t="shared" ref="J51" si="56">I127/I$12</f>
        <v>4.263877399602404E-4</v>
      </c>
      <c r="K51" s="55">
        <v>75</v>
      </c>
      <c r="L51" s="49">
        <f t="shared" ref="L51" si="57">K127/K$12</f>
        <v>4.6620038022901483E-4</v>
      </c>
      <c r="M51" s="55">
        <v>75</v>
      </c>
      <c r="N51" s="49">
        <f t="shared" ref="N51" si="58">M127/M$12</f>
        <v>3.2877639789202686E-4</v>
      </c>
      <c r="O51" s="55">
        <v>75</v>
      </c>
      <c r="P51" s="49">
        <f t="shared" ref="P51" si="59">O127/O$12</f>
        <v>5.1930332372871954E-4</v>
      </c>
      <c r="Q51" s="55">
        <v>75</v>
      </c>
      <c r="R51" s="49">
        <f t="shared" ref="R51" si="60">Q127/Q$12</f>
        <v>4.1820648898280955E-4</v>
      </c>
      <c r="S51" s="55">
        <v>75</v>
      </c>
      <c r="T51" s="49">
        <f t="shared" ref="T51" si="61">S127/S$12</f>
        <v>4.1514303404536769E-4</v>
      </c>
      <c r="U51" s="55">
        <v>75</v>
      </c>
      <c r="V51" s="49">
        <f t="shared" ref="V51" si="62">U127/U$12</f>
        <v>5.2337319314500351E-4</v>
      </c>
      <c r="W51" s="55">
        <v>75</v>
      </c>
      <c r="X51" s="49">
        <f t="shared" ref="X51" si="63">W127/W$12</f>
        <v>5.1440124868387606E-4</v>
      </c>
      <c r="Y51" s="55">
        <v>75</v>
      </c>
      <c r="Z51" s="49">
        <f t="shared" ref="Z51" si="64">Y127/Y$12</f>
        <v>3.4051345963382815E-4</v>
      </c>
      <c r="AA51" s="105">
        <f t="shared" si="51"/>
        <v>900</v>
      </c>
      <c r="AB51" s="108">
        <f t="shared" si="44"/>
        <v>3.2889561515491036E-4</v>
      </c>
      <c r="AC51" s="89">
        <f t="shared" si="52"/>
        <v>75</v>
      </c>
      <c r="AD51" s="92">
        <f t="shared" si="46"/>
        <v>3.2889561515491036E-4</v>
      </c>
      <c r="AE51" s="214" t="s">
        <v>287</v>
      </c>
      <c r="AF51" s="54">
        <v>506.36</v>
      </c>
      <c r="AG51" s="289" t="s">
        <v>290</v>
      </c>
      <c r="AI51" s="269"/>
      <c r="AJ51" s="260">
        <f t="shared" si="15"/>
        <v>4581</v>
      </c>
      <c r="AK51" s="268"/>
      <c r="AL51" s="54"/>
    </row>
    <row r="52" spans="1:38" s="1" customFormat="1">
      <c r="A52" s="128">
        <v>6111</v>
      </c>
      <c r="B52" s="128" t="s">
        <v>10</v>
      </c>
      <c r="C52" s="46">
        <v>13520.24</v>
      </c>
      <c r="D52" s="49">
        <f t="shared" ref="D52:D60" si="65">C128/C$12</f>
        <v>0</v>
      </c>
      <c r="E52" s="46">
        <v>13520.24</v>
      </c>
      <c r="F52" s="49">
        <f t="shared" ref="F52:F60" si="66">E128/E$12</f>
        <v>0</v>
      </c>
      <c r="G52" s="46">
        <v>13520.24</v>
      </c>
      <c r="H52" s="49">
        <f t="shared" ref="H52:H60" si="67">G128/G$12</f>
        <v>0</v>
      </c>
      <c r="I52" s="46">
        <v>13520.24</v>
      </c>
      <c r="J52" s="49">
        <f t="shared" ref="J52:J60" si="68">I128/I$12</f>
        <v>0</v>
      </c>
      <c r="K52" s="46">
        <v>13520.24</v>
      </c>
      <c r="L52" s="49">
        <f t="shared" ref="L52:L60" si="69">K128/K$12</f>
        <v>0</v>
      </c>
      <c r="M52" s="46">
        <v>13520.24</v>
      </c>
      <c r="N52" s="49">
        <f t="shared" ref="N52:N60" si="70">M128/M$12</f>
        <v>0</v>
      </c>
      <c r="O52" s="46">
        <v>13520.24</v>
      </c>
      <c r="P52" s="49">
        <f t="shared" ref="P52:P60" si="71">O128/O$12</f>
        <v>0</v>
      </c>
      <c r="Q52" s="46">
        <v>13520.24</v>
      </c>
      <c r="R52" s="49">
        <f t="shared" ref="R52:R60" si="72">Q128/Q$12</f>
        <v>0</v>
      </c>
      <c r="S52" s="46">
        <v>13520.24</v>
      </c>
      <c r="T52" s="49">
        <f t="shared" ref="T52:T60" si="73">S128/S$12</f>
        <v>0</v>
      </c>
      <c r="U52" s="46">
        <v>13520.24</v>
      </c>
      <c r="V52" s="49">
        <f t="shared" ref="V52:V60" si="74">U128/U$12</f>
        <v>0</v>
      </c>
      <c r="W52" s="46">
        <v>13520.24</v>
      </c>
      <c r="X52" s="49">
        <f t="shared" ref="X52:X60" si="75">W128/W$12</f>
        <v>0</v>
      </c>
      <c r="Y52" s="46">
        <v>13520.24</v>
      </c>
      <c r="Z52" s="49">
        <f t="shared" ref="Z52:Z60" si="76">Y128/Y$12</f>
        <v>0</v>
      </c>
      <c r="AA52" s="105">
        <f t="shared" si="51"/>
        <v>162242.88</v>
      </c>
      <c r="AB52" s="108">
        <f t="shared" si="44"/>
        <v>5.9289968691227012E-2</v>
      </c>
      <c r="AC52" s="89">
        <f t="shared" si="52"/>
        <v>13520.24</v>
      </c>
      <c r="AD52" s="92">
        <f t="shared" si="46"/>
        <v>5.9289968691227005E-2</v>
      </c>
      <c r="AE52" s="214" t="s">
        <v>155</v>
      </c>
      <c r="AF52" s="222"/>
      <c r="AG52" s="1" t="s">
        <v>155</v>
      </c>
      <c r="AI52" s="269"/>
      <c r="AJ52" s="260">
        <f t="shared" si="15"/>
        <v>825816.25919999985</v>
      </c>
      <c r="AK52" s="268" t="s">
        <v>199</v>
      </c>
      <c r="AL52" s="54"/>
    </row>
    <row r="53" spans="1:38" s="1" customFormat="1">
      <c r="A53" s="128">
        <v>6112</v>
      </c>
      <c r="B53" s="128" t="s">
        <v>11</v>
      </c>
      <c r="C53" s="46">
        <v>1000</v>
      </c>
      <c r="D53" s="49">
        <f t="shared" si="65"/>
        <v>1.2915296072610308E-2</v>
      </c>
      <c r="E53" s="46">
        <v>1000</v>
      </c>
      <c r="F53" s="49">
        <f t="shared" si="66"/>
        <v>1.3747157979724032E-2</v>
      </c>
      <c r="G53" s="46">
        <v>1000</v>
      </c>
      <c r="H53" s="49">
        <f t="shared" si="67"/>
        <v>1.2258987577122222E-2</v>
      </c>
      <c r="I53" s="46">
        <v>1000</v>
      </c>
      <c r="J53" s="49">
        <f t="shared" si="68"/>
        <v>1.2558326439761442E-2</v>
      </c>
      <c r="K53" s="46">
        <v>1000</v>
      </c>
      <c r="L53" s="49">
        <f t="shared" si="69"/>
        <v>1.279720228137409E-2</v>
      </c>
      <c r="M53" s="46">
        <v>1000</v>
      </c>
      <c r="N53" s="49">
        <f t="shared" si="70"/>
        <v>1.1972658387352161E-2</v>
      </c>
      <c r="O53" s="46">
        <v>1000</v>
      </c>
      <c r="P53" s="49">
        <f t="shared" si="71"/>
        <v>1.3115819942372318E-2</v>
      </c>
      <c r="Q53" s="46">
        <v>1000</v>
      </c>
      <c r="R53" s="49">
        <f t="shared" si="72"/>
        <v>1.2509238933896856E-2</v>
      </c>
      <c r="S53" s="46">
        <v>1000</v>
      </c>
      <c r="T53" s="49">
        <f t="shared" si="73"/>
        <v>1.2490858204272206E-2</v>
      </c>
      <c r="U53" s="46">
        <v>1000</v>
      </c>
      <c r="V53" s="49">
        <f t="shared" si="74"/>
        <v>1.3140239158870021E-2</v>
      </c>
      <c r="W53" s="46">
        <v>1000</v>
      </c>
      <c r="X53" s="49">
        <f t="shared" si="75"/>
        <v>1.3086407492103255E-2</v>
      </c>
      <c r="Y53" s="46">
        <v>1000</v>
      </c>
      <c r="Z53" s="49">
        <f t="shared" si="76"/>
        <v>1.2043080757802969E-2</v>
      </c>
      <c r="AA53" s="105">
        <f t="shared" si="51"/>
        <v>12000</v>
      </c>
      <c r="AB53" s="108">
        <f t="shared" si="44"/>
        <v>4.3852748687321381E-3</v>
      </c>
      <c r="AC53" s="89">
        <f t="shared" si="52"/>
        <v>1000</v>
      </c>
      <c r="AD53" s="92">
        <f t="shared" si="46"/>
        <v>4.3852748687321381E-3</v>
      </c>
      <c r="AE53" s="214" t="s">
        <v>291</v>
      </c>
      <c r="AF53" s="54">
        <v>750</v>
      </c>
      <c r="AG53" s="289" t="s">
        <v>233</v>
      </c>
      <c r="AI53" s="269"/>
      <c r="AJ53" s="260">
        <f t="shared" si="15"/>
        <v>61080</v>
      </c>
      <c r="AK53" s="268" t="s">
        <v>199</v>
      </c>
      <c r="AL53" s="54"/>
    </row>
    <row r="54" spans="1:38" s="1" customFormat="1">
      <c r="A54" s="128">
        <v>6113</v>
      </c>
      <c r="B54" s="128" t="s">
        <v>12</v>
      </c>
      <c r="C54" s="46">
        <v>0</v>
      </c>
      <c r="D54" s="49">
        <f t="shared" si="65"/>
        <v>0</v>
      </c>
      <c r="E54" s="46">
        <v>0</v>
      </c>
      <c r="F54" s="49">
        <f t="shared" si="66"/>
        <v>0</v>
      </c>
      <c r="G54" s="289"/>
      <c r="H54" s="49">
        <f t="shared" si="67"/>
        <v>0</v>
      </c>
      <c r="I54" s="46">
        <v>0</v>
      </c>
      <c r="J54" s="49">
        <f t="shared" si="68"/>
        <v>0</v>
      </c>
      <c r="K54" s="46">
        <v>0</v>
      </c>
      <c r="L54" s="49">
        <f t="shared" si="69"/>
        <v>0</v>
      </c>
      <c r="M54" s="46">
        <v>0</v>
      </c>
      <c r="N54" s="49">
        <f t="shared" si="70"/>
        <v>0</v>
      </c>
      <c r="O54" s="46">
        <v>0</v>
      </c>
      <c r="P54" s="49">
        <f t="shared" si="71"/>
        <v>0</v>
      </c>
      <c r="Q54" s="46">
        <v>0</v>
      </c>
      <c r="R54" s="49">
        <f t="shared" si="72"/>
        <v>0</v>
      </c>
      <c r="S54" s="46">
        <v>0</v>
      </c>
      <c r="T54" s="49">
        <f t="shared" si="73"/>
        <v>0</v>
      </c>
      <c r="U54" s="46">
        <v>0</v>
      </c>
      <c r="V54" s="49">
        <f t="shared" si="74"/>
        <v>0</v>
      </c>
      <c r="W54" s="46">
        <v>0</v>
      </c>
      <c r="X54" s="49">
        <f t="shared" si="75"/>
        <v>0</v>
      </c>
      <c r="Y54" s="46">
        <v>0</v>
      </c>
      <c r="Z54" s="49">
        <f t="shared" si="76"/>
        <v>0</v>
      </c>
      <c r="AA54" s="105">
        <f t="shared" si="51"/>
        <v>0</v>
      </c>
      <c r="AB54" s="108">
        <f t="shared" si="44"/>
        <v>0</v>
      </c>
      <c r="AC54" s="89">
        <f t="shared" si="52"/>
        <v>0</v>
      </c>
      <c r="AD54" s="92">
        <f t="shared" si="46"/>
        <v>0</v>
      </c>
      <c r="AE54" s="214"/>
      <c r="AF54" s="54"/>
      <c r="AI54" s="269"/>
      <c r="AJ54" s="260">
        <f t="shared" si="15"/>
        <v>0</v>
      </c>
      <c r="AK54" s="268" t="s">
        <v>199</v>
      </c>
      <c r="AL54" s="54"/>
    </row>
    <row r="55" spans="1:38" s="1" customFormat="1">
      <c r="A55" s="128">
        <v>6114</v>
      </c>
      <c r="B55" s="128" t="s">
        <v>88</v>
      </c>
      <c r="C55" s="55">
        <v>150</v>
      </c>
      <c r="D55" s="49">
        <f t="shared" si="65"/>
        <v>7.4207136958369627E-2</v>
      </c>
      <c r="E55" s="55">
        <v>150</v>
      </c>
      <c r="F55" s="49">
        <f t="shared" si="66"/>
        <v>-6.2644522752329138E-2</v>
      </c>
      <c r="G55" s="55">
        <v>150</v>
      </c>
      <c r="H55" s="49">
        <f t="shared" si="67"/>
        <v>0.11456453502173278</v>
      </c>
      <c r="I55" s="55">
        <v>150</v>
      </c>
      <c r="J55" s="49">
        <f t="shared" si="68"/>
        <v>8.7649550349055458E-2</v>
      </c>
      <c r="K55" s="55">
        <v>150</v>
      </c>
      <c r="L55" s="49">
        <f t="shared" si="69"/>
        <v>0.12268481306683021</v>
      </c>
      <c r="M55" s="55">
        <v>150</v>
      </c>
      <c r="N55" s="49">
        <f t="shared" si="70"/>
        <v>0.15947461171366378</v>
      </c>
      <c r="O55" s="55">
        <v>150</v>
      </c>
      <c r="P55" s="49">
        <f t="shared" si="71"/>
        <v>4.3124050007578522E-3</v>
      </c>
      <c r="Q55" s="55">
        <v>150</v>
      </c>
      <c r="R55" s="49">
        <f t="shared" si="72"/>
        <v>7.5230063711496462E-3</v>
      </c>
      <c r="S55" s="55">
        <v>150</v>
      </c>
      <c r="T55" s="49">
        <f t="shared" si="73"/>
        <v>0.12676668465744725</v>
      </c>
      <c r="U55" s="55">
        <v>150</v>
      </c>
      <c r="V55" s="49">
        <f t="shared" si="74"/>
        <v>3.7305723541441509E-2</v>
      </c>
      <c r="W55" s="55">
        <v>150</v>
      </c>
      <c r="X55" s="49">
        <f t="shared" si="75"/>
        <v>6.5805109605334811E-2</v>
      </c>
      <c r="Y55" s="55">
        <v>150</v>
      </c>
      <c r="Z55" s="49">
        <f t="shared" si="76"/>
        <v>0.17427700082571296</v>
      </c>
      <c r="AA55" s="105">
        <f t="shared" si="51"/>
        <v>1800</v>
      </c>
      <c r="AB55" s="108">
        <f t="shared" si="44"/>
        <v>6.5779123030982071E-4</v>
      </c>
      <c r="AC55" s="89">
        <f t="shared" si="52"/>
        <v>150</v>
      </c>
      <c r="AD55" s="92">
        <f t="shared" si="46"/>
        <v>6.5779123030982071E-4</v>
      </c>
      <c r="AE55" s="214" t="s">
        <v>287</v>
      </c>
      <c r="AF55" s="54">
        <v>250</v>
      </c>
      <c r="AG55" s="289" t="s">
        <v>292</v>
      </c>
      <c r="AI55" s="269" t="s">
        <v>119</v>
      </c>
      <c r="AJ55" s="260">
        <f t="shared" si="15"/>
        <v>9162</v>
      </c>
      <c r="AK55" s="268"/>
      <c r="AL55" s="54"/>
    </row>
    <row r="56" spans="1:38" s="1" customFormat="1">
      <c r="A56" s="128">
        <v>6115</v>
      </c>
      <c r="B56" s="128" t="s">
        <v>13</v>
      </c>
      <c r="C56" s="55">
        <v>300</v>
      </c>
      <c r="D56" s="49">
        <f t="shared" si="65"/>
        <v>0</v>
      </c>
      <c r="E56" s="55">
        <v>300</v>
      </c>
      <c r="F56" s="49">
        <f t="shared" si="66"/>
        <v>0</v>
      </c>
      <c r="G56" s="55">
        <v>300</v>
      </c>
      <c r="H56" s="49">
        <f t="shared" si="67"/>
        <v>0</v>
      </c>
      <c r="I56" s="55">
        <v>300</v>
      </c>
      <c r="J56" s="49">
        <f t="shared" si="68"/>
        <v>0</v>
      </c>
      <c r="K56" s="55">
        <v>300</v>
      </c>
      <c r="L56" s="49">
        <f t="shared" si="69"/>
        <v>0</v>
      </c>
      <c r="M56" s="55">
        <v>300</v>
      </c>
      <c r="N56" s="49">
        <f t="shared" si="70"/>
        <v>0</v>
      </c>
      <c r="O56" s="55">
        <v>300</v>
      </c>
      <c r="P56" s="49">
        <f t="shared" si="71"/>
        <v>0</v>
      </c>
      <c r="Q56" s="55">
        <v>300</v>
      </c>
      <c r="R56" s="49">
        <f t="shared" si="72"/>
        <v>0</v>
      </c>
      <c r="S56" s="55">
        <v>300</v>
      </c>
      <c r="T56" s="49">
        <f t="shared" si="73"/>
        <v>0</v>
      </c>
      <c r="U56" s="55">
        <v>300</v>
      </c>
      <c r="V56" s="49">
        <f t="shared" si="74"/>
        <v>0</v>
      </c>
      <c r="W56" s="55">
        <v>300</v>
      </c>
      <c r="X56" s="49">
        <f t="shared" si="75"/>
        <v>0</v>
      </c>
      <c r="Y56" s="55">
        <v>300</v>
      </c>
      <c r="Z56" s="49">
        <f t="shared" si="76"/>
        <v>0</v>
      </c>
      <c r="AA56" s="105">
        <f t="shared" si="51"/>
        <v>3600</v>
      </c>
      <c r="AB56" s="108">
        <f t="shared" si="44"/>
        <v>1.3155824606196414E-3</v>
      </c>
      <c r="AC56" s="89">
        <f t="shared" si="52"/>
        <v>300</v>
      </c>
      <c r="AD56" s="92">
        <f t="shared" si="46"/>
        <v>1.3155824606196414E-3</v>
      </c>
      <c r="AE56" s="214" t="s">
        <v>287</v>
      </c>
      <c r="AF56" s="54">
        <v>2050</v>
      </c>
      <c r="AG56" s="289" t="s">
        <v>293</v>
      </c>
      <c r="AI56" s="269"/>
      <c r="AJ56" s="260">
        <f t="shared" si="15"/>
        <v>18324</v>
      </c>
      <c r="AK56" s="268"/>
      <c r="AL56" s="54"/>
    </row>
    <row r="57" spans="1:38" s="1" customFormat="1">
      <c r="A57" s="128">
        <v>6116</v>
      </c>
      <c r="B57" s="128" t="s">
        <v>14</v>
      </c>
      <c r="C57" s="55">
        <f>177.76*1.2</f>
        <v>213.31199999999998</v>
      </c>
      <c r="D57" s="49">
        <f t="shared" si="65"/>
        <v>0</v>
      </c>
      <c r="E57" s="55">
        <f>177.76*1.2</f>
        <v>213.31199999999998</v>
      </c>
      <c r="F57" s="49">
        <f t="shared" si="66"/>
        <v>0</v>
      </c>
      <c r="G57" s="55">
        <f>177.76*1.2</f>
        <v>213.31199999999998</v>
      </c>
      <c r="H57" s="49">
        <f t="shared" si="67"/>
        <v>0</v>
      </c>
      <c r="I57" s="55">
        <f>177.76*1.2</f>
        <v>213.31199999999998</v>
      </c>
      <c r="J57" s="49">
        <f t="shared" si="68"/>
        <v>0</v>
      </c>
      <c r="K57" s="55">
        <f>177.76*1.2</f>
        <v>213.31199999999998</v>
      </c>
      <c r="L57" s="49">
        <f t="shared" si="69"/>
        <v>0</v>
      </c>
      <c r="M57" s="55">
        <f>177.76*1.2</f>
        <v>213.31199999999998</v>
      </c>
      <c r="N57" s="49">
        <f t="shared" si="70"/>
        <v>0</v>
      </c>
      <c r="O57" s="55">
        <f>177.76*1.2</f>
        <v>213.31199999999998</v>
      </c>
      <c r="P57" s="49">
        <f t="shared" si="71"/>
        <v>0</v>
      </c>
      <c r="Q57" s="55">
        <f>177.76*1.2</f>
        <v>213.31199999999998</v>
      </c>
      <c r="R57" s="49">
        <f t="shared" si="72"/>
        <v>0</v>
      </c>
      <c r="S57" s="55">
        <f>177.76*1.2</f>
        <v>213.31199999999998</v>
      </c>
      <c r="T57" s="49">
        <f t="shared" si="73"/>
        <v>0</v>
      </c>
      <c r="U57" s="55">
        <f>177.76*1.2</f>
        <v>213.31199999999998</v>
      </c>
      <c r="V57" s="49">
        <f t="shared" si="74"/>
        <v>0</v>
      </c>
      <c r="W57" s="55">
        <f>177.76*1.2</f>
        <v>213.31199999999998</v>
      </c>
      <c r="X57" s="49">
        <f t="shared" si="75"/>
        <v>0</v>
      </c>
      <c r="Y57" s="55">
        <f>177.76*1.2</f>
        <v>213.31199999999998</v>
      </c>
      <c r="Z57" s="49">
        <f t="shared" si="76"/>
        <v>0</v>
      </c>
      <c r="AA57" s="105">
        <f t="shared" si="51"/>
        <v>2559.7439999999992</v>
      </c>
      <c r="AB57" s="108">
        <f t="shared" si="44"/>
        <v>9.3543175279898962E-4</v>
      </c>
      <c r="AC57" s="89">
        <f t="shared" si="52"/>
        <v>213.31199999999993</v>
      </c>
      <c r="AD57" s="92">
        <f t="shared" si="46"/>
        <v>9.3543175279898962E-4</v>
      </c>
      <c r="AE57" s="214" t="s">
        <v>155</v>
      </c>
      <c r="AF57" s="54">
        <v>234</v>
      </c>
      <c r="AG57" s="289" t="s">
        <v>286</v>
      </c>
      <c r="AH57" s="1" t="s">
        <v>183</v>
      </c>
      <c r="AI57" s="269"/>
      <c r="AJ57" s="260">
        <f t="shared" si="15"/>
        <v>13029.096959999997</v>
      </c>
      <c r="AK57" s="268"/>
      <c r="AL57" s="54"/>
    </row>
    <row r="58" spans="1:38" s="1" customFormat="1">
      <c r="A58" s="128">
        <v>6117</v>
      </c>
      <c r="B58" s="128" t="s">
        <v>15</v>
      </c>
      <c r="C58" s="46"/>
      <c r="D58" s="49">
        <f t="shared" si="65"/>
        <v>0</v>
      </c>
      <c r="E58" s="46"/>
      <c r="F58" s="49">
        <f t="shared" si="66"/>
        <v>0</v>
      </c>
      <c r="G58" s="289"/>
      <c r="H58" s="49">
        <f t="shared" si="67"/>
        <v>0</v>
      </c>
      <c r="I58" s="46"/>
      <c r="J58" s="49">
        <f t="shared" si="68"/>
        <v>0</v>
      </c>
      <c r="K58" s="46"/>
      <c r="L58" s="49">
        <f t="shared" si="69"/>
        <v>0</v>
      </c>
      <c r="M58" s="46"/>
      <c r="N58" s="49">
        <f t="shared" si="70"/>
        <v>0</v>
      </c>
      <c r="O58" s="46">
        <v>0</v>
      </c>
      <c r="P58" s="49">
        <f t="shared" si="71"/>
        <v>0</v>
      </c>
      <c r="Q58" s="46">
        <v>0</v>
      </c>
      <c r="R58" s="195">
        <f t="shared" si="72"/>
        <v>0</v>
      </c>
      <c r="S58" s="46">
        <v>0</v>
      </c>
      <c r="T58" s="195">
        <f t="shared" si="73"/>
        <v>0</v>
      </c>
      <c r="U58" s="46">
        <v>0</v>
      </c>
      <c r="V58" s="195">
        <f t="shared" si="74"/>
        <v>0</v>
      </c>
      <c r="W58" s="46">
        <v>0</v>
      </c>
      <c r="X58" s="196">
        <f t="shared" si="75"/>
        <v>0</v>
      </c>
      <c r="Y58" s="46">
        <v>0</v>
      </c>
      <c r="Z58" s="195">
        <f t="shared" si="76"/>
        <v>0</v>
      </c>
      <c r="AA58" s="105">
        <f t="shared" si="51"/>
        <v>0</v>
      </c>
      <c r="AB58" s="108">
        <f t="shared" si="44"/>
        <v>0</v>
      </c>
      <c r="AC58" s="89">
        <f t="shared" si="52"/>
        <v>0</v>
      </c>
      <c r="AD58" s="92">
        <f t="shared" si="46"/>
        <v>0</v>
      </c>
      <c r="AE58" s="216"/>
      <c r="AF58" s="54"/>
      <c r="AI58" s="269"/>
      <c r="AJ58" s="260">
        <f t="shared" si="15"/>
        <v>0</v>
      </c>
      <c r="AK58" s="268"/>
      <c r="AL58" s="54"/>
    </row>
    <row r="59" spans="1:38" s="1" customFormat="1">
      <c r="A59" s="128">
        <v>6118</v>
      </c>
      <c r="B59" s="128" t="s">
        <v>16</v>
      </c>
      <c r="C59" s="55">
        <v>5000</v>
      </c>
      <c r="D59" s="49">
        <f t="shared" si="65"/>
        <v>7.4207136958369627E-2</v>
      </c>
      <c r="E59" s="55">
        <v>5000</v>
      </c>
      <c r="F59" s="49">
        <f t="shared" si="66"/>
        <v>-6.2644522752329138E-2</v>
      </c>
      <c r="G59" s="55">
        <v>5000</v>
      </c>
      <c r="H59" s="49">
        <f t="shared" si="67"/>
        <v>0.11456453502173278</v>
      </c>
      <c r="I59" s="55">
        <v>5000</v>
      </c>
      <c r="J59" s="49">
        <f t="shared" si="68"/>
        <v>8.7649550349055458E-2</v>
      </c>
      <c r="K59" s="55">
        <v>5000</v>
      </c>
      <c r="L59" s="49">
        <f t="shared" si="69"/>
        <v>0.12268481306683021</v>
      </c>
      <c r="M59" s="55">
        <v>10000</v>
      </c>
      <c r="N59" s="49">
        <f t="shared" si="70"/>
        <v>0.15947461171366378</v>
      </c>
      <c r="O59" s="55">
        <v>10000</v>
      </c>
      <c r="P59" s="49">
        <f t="shared" si="71"/>
        <v>4.3124050007578522E-3</v>
      </c>
      <c r="Q59" s="55">
        <v>10000</v>
      </c>
      <c r="R59" s="49">
        <f t="shared" si="72"/>
        <v>7.5230063711496462E-3</v>
      </c>
      <c r="S59" s="55">
        <v>10000</v>
      </c>
      <c r="T59" s="49">
        <f t="shared" si="73"/>
        <v>0.12676668465744725</v>
      </c>
      <c r="U59" s="55">
        <v>10000</v>
      </c>
      <c r="V59" s="49">
        <f t="shared" si="74"/>
        <v>3.7305723541441509E-2</v>
      </c>
      <c r="W59" s="55">
        <v>9000</v>
      </c>
      <c r="X59" s="49">
        <f t="shared" si="75"/>
        <v>6.5805109605334811E-2</v>
      </c>
      <c r="Y59" s="55">
        <v>9000</v>
      </c>
      <c r="Z59" s="49">
        <f t="shared" si="76"/>
        <v>0.17427700082571296</v>
      </c>
      <c r="AA59" s="105">
        <f t="shared" si="51"/>
        <v>93000</v>
      </c>
      <c r="AB59" s="108">
        <f t="shared" si="44"/>
        <v>3.3985880232674071E-2</v>
      </c>
      <c r="AC59" s="89">
        <f t="shared" si="52"/>
        <v>7750</v>
      </c>
      <c r="AD59" s="92">
        <f t="shared" si="46"/>
        <v>3.3985880232674071E-2</v>
      </c>
      <c r="AE59" s="214" t="s">
        <v>284</v>
      </c>
      <c r="AF59" s="54">
        <v>22455</v>
      </c>
      <c r="AG59" s="54" t="s">
        <v>257</v>
      </c>
      <c r="AI59" s="269"/>
      <c r="AJ59" s="260">
        <f t="shared" si="15"/>
        <v>473370</v>
      </c>
      <c r="AK59" s="268"/>
      <c r="AL59" s="54" t="s">
        <v>257</v>
      </c>
    </row>
    <row r="60" spans="1:38" s="1" customFormat="1">
      <c r="A60" s="128">
        <v>6119</v>
      </c>
      <c r="B60" s="128" t="s">
        <v>17</v>
      </c>
      <c r="C60" s="46"/>
      <c r="D60" s="49">
        <f t="shared" si="65"/>
        <v>0</v>
      </c>
      <c r="E60" s="46"/>
      <c r="F60" s="49">
        <f t="shared" si="66"/>
        <v>0</v>
      </c>
      <c r="G60" s="289"/>
      <c r="H60" s="49">
        <f t="shared" si="67"/>
        <v>0</v>
      </c>
      <c r="I60" s="46"/>
      <c r="J60" s="49">
        <f t="shared" si="68"/>
        <v>0</v>
      </c>
      <c r="K60" s="46"/>
      <c r="L60" s="49">
        <f t="shared" si="69"/>
        <v>0</v>
      </c>
      <c r="M60" s="46"/>
      <c r="N60" s="49">
        <f t="shared" si="70"/>
        <v>0</v>
      </c>
      <c r="O60" s="46"/>
      <c r="P60" s="49">
        <f t="shared" si="71"/>
        <v>0</v>
      </c>
      <c r="Q60" s="46"/>
      <c r="R60" s="49">
        <f t="shared" si="72"/>
        <v>0</v>
      </c>
      <c r="S60" s="46"/>
      <c r="T60" s="49">
        <f t="shared" si="73"/>
        <v>0</v>
      </c>
      <c r="U60" s="46"/>
      <c r="V60" s="49">
        <f t="shared" si="74"/>
        <v>0</v>
      </c>
      <c r="W60" s="46"/>
      <c r="X60" s="49">
        <f t="shared" si="75"/>
        <v>0</v>
      </c>
      <c r="Y60" s="46"/>
      <c r="Z60" s="49">
        <f t="shared" si="76"/>
        <v>0</v>
      </c>
      <c r="AA60" s="105">
        <f t="shared" si="51"/>
        <v>0</v>
      </c>
      <c r="AB60" s="108">
        <f t="shared" si="44"/>
        <v>0</v>
      </c>
      <c r="AC60" s="89">
        <f t="shared" si="52"/>
        <v>0</v>
      </c>
      <c r="AD60" s="92">
        <f t="shared" si="46"/>
        <v>0</v>
      </c>
      <c r="AE60" s="214"/>
      <c r="AF60" s="54"/>
      <c r="AG60" s="5"/>
      <c r="AI60" s="269"/>
      <c r="AJ60" s="260">
        <f t="shared" si="15"/>
        <v>0</v>
      </c>
      <c r="AK60" s="268"/>
      <c r="AL60" s="54"/>
    </row>
    <row r="61" spans="1:38" s="1" customFormat="1">
      <c r="A61" s="128">
        <v>6120</v>
      </c>
      <c r="B61" s="128" t="s">
        <v>18</v>
      </c>
      <c r="C61" s="46"/>
      <c r="D61" s="49">
        <f t="shared" ref="D61:D66" si="77">C61/C$12</f>
        <v>0</v>
      </c>
      <c r="E61" s="46"/>
      <c r="F61" s="49">
        <f t="shared" ref="F61:F66" si="78">E61/E$12</f>
        <v>0</v>
      </c>
      <c r="G61" s="289"/>
      <c r="H61" s="49">
        <f t="shared" ref="H61:H66" si="79">G61/G$12</f>
        <v>0</v>
      </c>
      <c r="I61" s="46"/>
      <c r="J61" s="49">
        <f t="shared" ref="J61:J66" si="80">I61/I$12</f>
        <v>0</v>
      </c>
      <c r="K61" s="46">
        <v>0</v>
      </c>
      <c r="L61" s="49">
        <f t="shared" ref="L61:L66" si="81">K61/K$12</f>
        <v>0</v>
      </c>
      <c r="M61" s="46"/>
      <c r="N61" s="49">
        <f t="shared" ref="N61:N66" si="82">M61/M$12</f>
        <v>0</v>
      </c>
      <c r="O61" s="46">
        <v>0</v>
      </c>
      <c r="P61" s="49">
        <f t="shared" ref="P61:P66" si="83">O61/O$12</f>
        <v>0</v>
      </c>
      <c r="Q61" s="46">
        <v>0</v>
      </c>
      <c r="R61" s="49">
        <f t="shared" ref="R61:R66" si="84">Q61/Q$12</f>
        <v>0</v>
      </c>
      <c r="S61" s="46">
        <v>0</v>
      </c>
      <c r="T61" s="49">
        <f t="shared" ref="T61:T66" si="85">S61/S$12</f>
        <v>0</v>
      </c>
      <c r="U61" s="46">
        <v>0</v>
      </c>
      <c r="V61" s="49">
        <f t="shared" ref="V61:V66" si="86">U61/U$12</f>
        <v>0</v>
      </c>
      <c r="W61" s="46"/>
      <c r="X61" s="49">
        <f t="shared" ref="X61:X66" si="87">W61/W$12</f>
        <v>0</v>
      </c>
      <c r="Y61" s="46"/>
      <c r="Z61" s="49">
        <f t="shared" ref="Z61:Z66" si="88">Y61/Y$12</f>
        <v>0</v>
      </c>
      <c r="AA61" s="105">
        <f t="shared" si="51"/>
        <v>0</v>
      </c>
      <c r="AB61" s="108">
        <f t="shared" si="44"/>
        <v>0</v>
      </c>
      <c r="AC61" s="89">
        <f t="shared" si="52"/>
        <v>0</v>
      </c>
      <c r="AD61" s="92">
        <f t="shared" si="46"/>
        <v>0</v>
      </c>
      <c r="AE61" s="214"/>
      <c r="AF61" s="54">
        <v>47</v>
      </c>
      <c r="AI61" s="269"/>
      <c r="AJ61" s="260">
        <f t="shared" si="15"/>
        <v>0</v>
      </c>
      <c r="AK61" s="268"/>
      <c r="AL61" s="54"/>
    </row>
    <row r="62" spans="1:38" s="1" customFormat="1">
      <c r="A62" s="128">
        <v>6121</v>
      </c>
      <c r="B62" s="2" t="s">
        <v>19</v>
      </c>
      <c r="C62" s="46">
        <v>50</v>
      </c>
      <c r="D62" s="49">
        <f t="shared" si="77"/>
        <v>2.4294133938419229E-4</v>
      </c>
      <c r="E62" s="46">
        <v>50</v>
      </c>
      <c r="F62" s="49">
        <f t="shared" si="78"/>
        <v>3.1226316497700283E-4</v>
      </c>
      <c r="G62" s="46">
        <v>50</v>
      </c>
      <c r="H62" s="49">
        <f t="shared" si="79"/>
        <v>1.8824896476018512E-4</v>
      </c>
      <c r="I62" s="46">
        <v>50</v>
      </c>
      <c r="J62" s="49">
        <f t="shared" si="80"/>
        <v>2.131938699801202E-4</v>
      </c>
      <c r="K62" s="46">
        <v>50</v>
      </c>
      <c r="L62" s="49">
        <f t="shared" si="81"/>
        <v>2.3310019011450742E-4</v>
      </c>
      <c r="M62" s="46">
        <v>50</v>
      </c>
      <c r="N62" s="49">
        <f t="shared" si="82"/>
        <v>1.6438819894601343E-4</v>
      </c>
      <c r="O62" s="46">
        <v>50</v>
      </c>
      <c r="P62" s="49">
        <f t="shared" si="83"/>
        <v>2.5965166186435977E-4</v>
      </c>
      <c r="Q62" s="46">
        <v>50</v>
      </c>
      <c r="R62" s="49">
        <f t="shared" si="84"/>
        <v>2.0910324449140478E-4</v>
      </c>
      <c r="S62" s="46">
        <v>50</v>
      </c>
      <c r="T62" s="49">
        <f t="shared" si="85"/>
        <v>2.0757151702268384E-4</v>
      </c>
      <c r="U62" s="46">
        <v>50</v>
      </c>
      <c r="V62" s="49">
        <f t="shared" si="86"/>
        <v>2.6168659657250175E-4</v>
      </c>
      <c r="W62" s="46">
        <v>50</v>
      </c>
      <c r="X62" s="49">
        <f t="shared" si="87"/>
        <v>2.5720062434193803E-4</v>
      </c>
      <c r="Y62" s="46">
        <v>50</v>
      </c>
      <c r="Z62" s="49">
        <f t="shared" si="88"/>
        <v>1.7025672981691407E-4</v>
      </c>
      <c r="AA62" s="105">
        <f t="shared" si="51"/>
        <v>600</v>
      </c>
      <c r="AB62" s="108">
        <f t="shared" si="44"/>
        <v>2.1926374343660693E-4</v>
      </c>
      <c r="AC62" s="89">
        <f t="shared" si="52"/>
        <v>50</v>
      </c>
      <c r="AD62" s="92">
        <f t="shared" si="46"/>
        <v>2.1926374343660693E-4</v>
      </c>
      <c r="AE62" s="214" t="s">
        <v>287</v>
      </c>
      <c r="AF62" s="54">
        <v>210</v>
      </c>
      <c r="AG62" s="1" t="s">
        <v>156</v>
      </c>
      <c r="AI62" s="269"/>
      <c r="AJ62" s="260">
        <f t="shared" si="15"/>
        <v>3054</v>
      </c>
      <c r="AK62" s="268"/>
      <c r="AL62" s="54"/>
    </row>
    <row r="63" spans="1:38" s="1" customFormat="1">
      <c r="A63" s="2">
        <v>6122</v>
      </c>
      <c r="B63" s="2" t="s">
        <v>20</v>
      </c>
      <c r="C63" s="46"/>
      <c r="D63" s="49">
        <f t="shared" si="77"/>
        <v>0</v>
      </c>
      <c r="E63" s="46"/>
      <c r="F63" s="49">
        <f t="shared" si="78"/>
        <v>0</v>
      </c>
      <c r="G63" s="289"/>
      <c r="H63" s="49">
        <f t="shared" si="79"/>
        <v>0</v>
      </c>
      <c r="I63" s="46"/>
      <c r="J63" s="49">
        <f t="shared" si="80"/>
        <v>0</v>
      </c>
      <c r="K63" s="46"/>
      <c r="L63" s="49">
        <f t="shared" si="81"/>
        <v>0</v>
      </c>
      <c r="M63" s="46"/>
      <c r="N63" s="49">
        <f t="shared" si="82"/>
        <v>0</v>
      </c>
      <c r="O63" s="46"/>
      <c r="P63" s="49">
        <f t="shared" si="83"/>
        <v>0</v>
      </c>
      <c r="Q63" s="46"/>
      <c r="R63" s="49">
        <f t="shared" si="84"/>
        <v>0</v>
      </c>
      <c r="S63" s="46"/>
      <c r="T63" s="49">
        <f t="shared" si="85"/>
        <v>0</v>
      </c>
      <c r="U63" s="46"/>
      <c r="V63" s="49">
        <f t="shared" si="86"/>
        <v>0</v>
      </c>
      <c r="W63" s="46"/>
      <c r="X63" s="49">
        <f t="shared" si="87"/>
        <v>0</v>
      </c>
      <c r="Y63" s="46"/>
      <c r="Z63" s="49">
        <f t="shared" si="88"/>
        <v>0</v>
      </c>
      <c r="AA63" s="105">
        <f t="shared" si="51"/>
        <v>0</v>
      </c>
      <c r="AB63" s="108">
        <f t="shared" si="44"/>
        <v>0</v>
      </c>
      <c r="AC63" s="89">
        <f t="shared" si="52"/>
        <v>0</v>
      </c>
      <c r="AD63" s="92">
        <f t="shared" si="46"/>
        <v>0</v>
      </c>
      <c r="AE63" s="214"/>
      <c r="AF63" s="54"/>
      <c r="AI63" s="269"/>
      <c r="AJ63" s="260">
        <f t="shared" si="15"/>
        <v>0</v>
      </c>
      <c r="AK63" s="268"/>
      <c r="AL63" s="54"/>
    </row>
    <row r="64" spans="1:38" s="1" customFormat="1">
      <c r="A64" s="2">
        <v>6123</v>
      </c>
      <c r="B64" s="2" t="s">
        <v>21</v>
      </c>
      <c r="C64" s="46"/>
      <c r="D64" s="49">
        <f t="shared" si="77"/>
        <v>0</v>
      </c>
      <c r="E64" s="46"/>
      <c r="F64" s="49">
        <f t="shared" si="78"/>
        <v>0</v>
      </c>
      <c r="G64" s="289"/>
      <c r="H64" s="49">
        <f t="shared" si="79"/>
        <v>0</v>
      </c>
      <c r="I64" s="46"/>
      <c r="J64" s="49">
        <f t="shared" si="80"/>
        <v>0</v>
      </c>
      <c r="K64" s="46"/>
      <c r="L64" s="49">
        <f t="shared" si="81"/>
        <v>0</v>
      </c>
      <c r="M64" s="46"/>
      <c r="N64" s="49">
        <f t="shared" si="82"/>
        <v>0</v>
      </c>
      <c r="O64" s="46"/>
      <c r="P64" s="49">
        <f t="shared" si="83"/>
        <v>0</v>
      </c>
      <c r="Q64" s="46"/>
      <c r="R64" s="49">
        <f t="shared" si="84"/>
        <v>0</v>
      </c>
      <c r="S64" s="46"/>
      <c r="T64" s="49">
        <f t="shared" si="85"/>
        <v>0</v>
      </c>
      <c r="U64" s="46"/>
      <c r="V64" s="49">
        <f t="shared" si="86"/>
        <v>0</v>
      </c>
      <c r="W64" s="46"/>
      <c r="X64" s="49">
        <f t="shared" si="87"/>
        <v>0</v>
      </c>
      <c r="Y64" s="46"/>
      <c r="Z64" s="49">
        <f t="shared" si="88"/>
        <v>0</v>
      </c>
      <c r="AA64" s="105">
        <f t="shared" si="51"/>
        <v>0</v>
      </c>
      <c r="AB64" s="108">
        <f t="shared" si="44"/>
        <v>0</v>
      </c>
      <c r="AC64" s="89">
        <f t="shared" si="52"/>
        <v>0</v>
      </c>
      <c r="AD64" s="92">
        <f t="shared" si="46"/>
        <v>0</v>
      </c>
      <c r="AE64" s="214"/>
      <c r="AF64" s="54"/>
      <c r="AI64" s="269"/>
      <c r="AJ64" s="260">
        <f t="shared" si="15"/>
        <v>0</v>
      </c>
      <c r="AK64" s="268"/>
      <c r="AL64" s="54"/>
    </row>
    <row r="65" spans="1:38" s="1" customFormat="1">
      <c r="A65" s="128">
        <v>6124</v>
      </c>
      <c r="B65" s="2" t="s">
        <v>22</v>
      </c>
      <c r="C65" s="46">
        <v>1000</v>
      </c>
      <c r="D65" s="49">
        <f t="shared" si="77"/>
        <v>4.8588267876838462E-3</v>
      </c>
      <c r="E65" s="46">
        <v>1000</v>
      </c>
      <c r="F65" s="49">
        <f t="shared" si="78"/>
        <v>6.2452632995400569E-3</v>
      </c>
      <c r="G65" s="46">
        <v>1000</v>
      </c>
      <c r="H65" s="49">
        <f t="shared" si="79"/>
        <v>3.7649792952037021E-3</v>
      </c>
      <c r="I65" s="46">
        <v>1000</v>
      </c>
      <c r="J65" s="49">
        <f t="shared" si="80"/>
        <v>4.2638773996024042E-3</v>
      </c>
      <c r="K65" s="46">
        <v>1000</v>
      </c>
      <c r="L65" s="49">
        <f t="shared" si="81"/>
        <v>4.6620038022901489E-3</v>
      </c>
      <c r="M65" s="46">
        <v>1000</v>
      </c>
      <c r="N65" s="49">
        <f t="shared" si="82"/>
        <v>3.2877639789202686E-3</v>
      </c>
      <c r="O65" s="46">
        <v>1000</v>
      </c>
      <c r="P65" s="49">
        <f t="shared" si="83"/>
        <v>5.1930332372871956E-3</v>
      </c>
      <c r="Q65" s="46">
        <v>1000</v>
      </c>
      <c r="R65" s="49">
        <f t="shared" si="84"/>
        <v>4.1820648898280958E-3</v>
      </c>
      <c r="S65" s="46">
        <v>1000</v>
      </c>
      <c r="T65" s="49">
        <f t="shared" si="85"/>
        <v>4.1514303404536768E-3</v>
      </c>
      <c r="U65" s="46">
        <v>1000</v>
      </c>
      <c r="V65" s="49">
        <f t="shared" si="86"/>
        <v>5.2337319314500344E-3</v>
      </c>
      <c r="W65" s="46">
        <v>1000</v>
      </c>
      <c r="X65" s="49">
        <f t="shared" si="87"/>
        <v>5.144012486838761E-3</v>
      </c>
      <c r="Y65" s="46">
        <v>1000</v>
      </c>
      <c r="Z65" s="49">
        <f t="shared" si="88"/>
        <v>3.4051345963382815E-3</v>
      </c>
      <c r="AA65" s="105">
        <f t="shared" si="51"/>
        <v>12000</v>
      </c>
      <c r="AB65" s="108">
        <f t="shared" si="44"/>
        <v>4.3852748687321381E-3</v>
      </c>
      <c r="AC65" s="89">
        <f t="shared" si="52"/>
        <v>1000</v>
      </c>
      <c r="AD65" s="92">
        <f t="shared" si="46"/>
        <v>4.3852748687321381E-3</v>
      </c>
      <c r="AE65" s="214" t="s">
        <v>287</v>
      </c>
      <c r="AF65" s="54"/>
      <c r="AG65" s="289" t="s">
        <v>302</v>
      </c>
      <c r="AI65" s="269">
        <f>31475*12*2%+550</f>
        <v>8104</v>
      </c>
      <c r="AJ65" s="260">
        <f t="shared" si="15"/>
        <v>61080</v>
      </c>
      <c r="AK65" s="268" t="s">
        <v>204</v>
      </c>
      <c r="AL65" s="54"/>
    </row>
    <row r="66" spans="1:38" s="1" customFormat="1">
      <c r="A66" s="128">
        <v>6125</v>
      </c>
      <c r="B66" s="2" t="s">
        <v>78</v>
      </c>
      <c r="C66" s="46">
        <v>81.86</v>
      </c>
      <c r="D66" s="49">
        <f t="shared" si="77"/>
        <v>3.9774356083979961E-4</v>
      </c>
      <c r="E66" s="46">
        <v>81.86</v>
      </c>
      <c r="F66" s="49">
        <f t="shared" si="78"/>
        <v>5.1123725370034903E-4</v>
      </c>
      <c r="G66" s="46">
        <v>81.86</v>
      </c>
      <c r="H66" s="49">
        <f t="shared" si="79"/>
        <v>3.0820120510537504E-4</v>
      </c>
      <c r="I66" s="46">
        <v>81.86</v>
      </c>
      <c r="J66" s="49">
        <f t="shared" si="80"/>
        <v>3.4904100393145279E-4</v>
      </c>
      <c r="K66" s="46">
        <v>81.86</v>
      </c>
      <c r="L66" s="49">
        <f t="shared" si="81"/>
        <v>3.8163163125547157E-4</v>
      </c>
      <c r="M66" s="46">
        <v>81.86</v>
      </c>
      <c r="N66" s="49">
        <f t="shared" si="82"/>
        <v>2.6913635931441319E-4</v>
      </c>
      <c r="O66" s="46">
        <v>81.86</v>
      </c>
      <c r="P66" s="49">
        <f t="shared" si="83"/>
        <v>4.2510170080432982E-4</v>
      </c>
      <c r="Q66" s="46">
        <v>81.86</v>
      </c>
      <c r="R66" s="49">
        <f t="shared" si="84"/>
        <v>3.4234383188132787E-4</v>
      </c>
      <c r="S66" s="46">
        <v>81.86</v>
      </c>
      <c r="T66" s="49">
        <f t="shared" si="85"/>
        <v>3.3983608766953801E-4</v>
      </c>
      <c r="U66" s="46">
        <v>81.86</v>
      </c>
      <c r="V66" s="49">
        <f t="shared" si="86"/>
        <v>4.2843329590849983E-4</v>
      </c>
      <c r="W66" s="46">
        <v>81.86</v>
      </c>
      <c r="X66" s="49">
        <f t="shared" si="87"/>
        <v>4.2108886217262097E-4</v>
      </c>
      <c r="Y66" s="46">
        <v>81.86</v>
      </c>
      <c r="Z66" s="49">
        <f t="shared" si="88"/>
        <v>2.7874431805625173E-4</v>
      </c>
      <c r="AA66" s="105">
        <f t="shared" si="51"/>
        <v>982.32</v>
      </c>
      <c r="AB66" s="108">
        <f t="shared" si="44"/>
        <v>3.5897860075441288E-4</v>
      </c>
      <c r="AC66" s="89">
        <f t="shared" si="52"/>
        <v>81.86</v>
      </c>
      <c r="AD66" s="92">
        <f t="shared" si="46"/>
        <v>3.5897860075441283E-4</v>
      </c>
      <c r="AE66" s="214" t="s">
        <v>177</v>
      </c>
      <c r="AF66" s="54">
        <v>983</v>
      </c>
      <c r="AG66" s="1" t="s">
        <v>179</v>
      </c>
      <c r="AI66" s="269" t="s">
        <v>203</v>
      </c>
      <c r="AJ66" s="260">
        <f t="shared" si="15"/>
        <v>5000.0087999999996</v>
      </c>
      <c r="AK66" s="268"/>
      <c r="AL66" s="54"/>
    </row>
    <row r="67" spans="1:38" s="1" customFormat="1">
      <c r="A67" s="2">
        <v>6126</v>
      </c>
      <c r="B67" s="2" t="s">
        <v>113</v>
      </c>
      <c r="C67" s="46"/>
      <c r="D67" s="49"/>
      <c r="E67" s="46"/>
      <c r="F67" s="49"/>
      <c r="G67" s="46"/>
      <c r="H67" s="49"/>
      <c r="I67" s="46"/>
      <c r="J67" s="49"/>
      <c r="K67" s="46"/>
      <c r="L67" s="49"/>
      <c r="M67" s="46"/>
      <c r="N67" s="49"/>
      <c r="O67" s="46"/>
      <c r="P67" s="49"/>
      <c r="Q67" s="46"/>
      <c r="R67" s="49"/>
      <c r="S67" s="46"/>
      <c r="T67" s="49"/>
      <c r="U67" s="46"/>
      <c r="V67" s="49"/>
      <c r="W67" s="46"/>
      <c r="X67" s="49"/>
      <c r="Y67" s="46"/>
      <c r="Z67" s="49"/>
      <c r="AA67" s="105">
        <f t="shared" si="51"/>
        <v>0</v>
      </c>
      <c r="AB67" s="108">
        <f t="shared" si="44"/>
        <v>0</v>
      </c>
      <c r="AC67" s="89">
        <f t="shared" si="52"/>
        <v>0</v>
      </c>
      <c r="AD67" s="92">
        <f t="shared" si="46"/>
        <v>0</v>
      </c>
      <c r="AE67" s="214"/>
      <c r="AF67" s="54"/>
      <c r="AI67" s="269"/>
      <c r="AJ67" s="260">
        <f t="shared" si="15"/>
        <v>0</v>
      </c>
      <c r="AK67" s="268"/>
      <c r="AL67" s="54"/>
    </row>
    <row r="68" spans="1:38" s="1" customFormat="1">
      <c r="A68" s="128">
        <v>6127</v>
      </c>
      <c r="B68" s="2" t="s">
        <v>76</v>
      </c>
      <c r="C68" s="46">
        <v>197</v>
      </c>
      <c r="D68" s="49">
        <f>C68/C$12</f>
        <v>9.5718887717371765E-4</v>
      </c>
      <c r="E68" s="46">
        <v>197</v>
      </c>
      <c r="F68" s="49">
        <f>E68/E$12</f>
        <v>1.2303168700093911E-3</v>
      </c>
      <c r="G68" s="46">
        <v>197</v>
      </c>
      <c r="H68" s="49">
        <f>G68/G$12</f>
        <v>7.4170092115512936E-4</v>
      </c>
      <c r="I68" s="46">
        <v>197</v>
      </c>
      <c r="J68" s="49">
        <f>I68/I$12</f>
        <v>8.3998384772167355E-4</v>
      </c>
      <c r="K68" s="46">
        <v>197</v>
      </c>
      <c r="L68" s="49">
        <f>K68/K$12</f>
        <v>9.184147490511592E-4</v>
      </c>
      <c r="M68" s="46">
        <v>197</v>
      </c>
      <c r="N68" s="49">
        <f>M68/M$12</f>
        <v>6.4768950384729289E-4</v>
      </c>
      <c r="O68" s="46">
        <v>197</v>
      </c>
      <c r="P68" s="49">
        <f>O68/O$12</f>
        <v>1.0230275477455775E-3</v>
      </c>
      <c r="Q68" s="46">
        <v>197</v>
      </c>
      <c r="R68" s="49">
        <f>Q68/Q$12</f>
        <v>8.238667832961348E-4</v>
      </c>
      <c r="S68" s="46">
        <v>197</v>
      </c>
      <c r="T68" s="49">
        <f>S68/S$12</f>
        <v>8.1783177706937433E-4</v>
      </c>
      <c r="U68" s="46">
        <v>197</v>
      </c>
      <c r="V68" s="49">
        <f>U68/U$12</f>
        <v>1.0310451904956568E-3</v>
      </c>
      <c r="W68" s="46">
        <v>197</v>
      </c>
      <c r="X68" s="49">
        <f>W68/W$12</f>
        <v>1.0133704599072358E-3</v>
      </c>
      <c r="Y68" s="46">
        <v>197</v>
      </c>
      <c r="Z68" s="49">
        <f>Y68/Y$12</f>
        <v>6.7081151547864143E-4</v>
      </c>
      <c r="AA68" s="105">
        <f t="shared" si="51"/>
        <v>2364</v>
      </c>
      <c r="AB68" s="108">
        <f t="shared" si="44"/>
        <v>8.6389914914023131E-4</v>
      </c>
      <c r="AC68" s="89">
        <f t="shared" si="52"/>
        <v>197</v>
      </c>
      <c r="AD68" s="92">
        <f t="shared" si="46"/>
        <v>8.6389914914023131E-4</v>
      </c>
      <c r="AE68" s="214" t="s">
        <v>155</v>
      </c>
      <c r="AF68" s="54">
        <v>125</v>
      </c>
      <c r="AG68" s="289" t="s">
        <v>237</v>
      </c>
      <c r="AI68" s="269" t="s">
        <v>148</v>
      </c>
      <c r="AJ68" s="260">
        <f t="shared" si="15"/>
        <v>12032.759999999997</v>
      </c>
      <c r="AK68" s="268"/>
      <c r="AL68" s="54"/>
    </row>
    <row r="69" spans="1:38" s="1" customFormat="1">
      <c r="A69" s="2">
        <v>6129</v>
      </c>
      <c r="B69" s="2" t="s">
        <v>206</v>
      </c>
      <c r="C69" s="280"/>
      <c r="D69" s="108">
        <f t="shared" ref="D69:AD75" si="89">C69/C$12</f>
        <v>0</v>
      </c>
      <c r="E69" s="280"/>
      <c r="F69" s="108">
        <f t="shared" ref="F69" si="90">E69/E$12</f>
        <v>0</v>
      </c>
      <c r="G69" s="280"/>
      <c r="H69" s="108">
        <f t="shared" ref="H69" si="91">G69/G$12</f>
        <v>0</v>
      </c>
      <c r="I69" s="280"/>
      <c r="J69" s="108">
        <f t="shared" ref="J69" si="92">I69/I$12</f>
        <v>0</v>
      </c>
      <c r="K69" s="280"/>
      <c r="L69" s="108">
        <f t="shared" ref="L69" si="93">K69/K$12</f>
        <v>0</v>
      </c>
      <c r="M69" s="280"/>
      <c r="N69" s="108">
        <f t="shared" ref="N69" si="94">M69/M$12</f>
        <v>0</v>
      </c>
      <c r="O69" s="280"/>
      <c r="P69" s="108">
        <f t="shared" ref="P69" si="95">O69/O$12</f>
        <v>0</v>
      </c>
      <c r="Q69" s="280"/>
      <c r="R69" s="108">
        <f t="shared" ref="R69" si="96">Q69/Q$12</f>
        <v>0</v>
      </c>
      <c r="S69" s="280"/>
      <c r="T69" s="108">
        <f t="shared" ref="T69" si="97">S69/S$12</f>
        <v>0</v>
      </c>
      <c r="U69" s="280"/>
      <c r="V69" s="108">
        <f t="shared" ref="V69" si="98">U69/U$12</f>
        <v>0</v>
      </c>
      <c r="W69" s="280"/>
      <c r="X69" s="144">
        <f t="shared" ref="X69" si="99">W69/W$12</f>
        <v>0</v>
      </c>
      <c r="Y69" s="280"/>
      <c r="Z69" s="49">
        <f t="shared" ref="Z69" si="100">Y69/Y$12</f>
        <v>0</v>
      </c>
      <c r="AA69" s="105">
        <f t="shared" si="51"/>
        <v>0</v>
      </c>
      <c r="AB69" s="108">
        <f t="shared" si="44"/>
        <v>0</v>
      </c>
      <c r="AC69" s="89">
        <f t="shared" si="52"/>
        <v>0</v>
      </c>
      <c r="AD69" s="92">
        <f t="shared" si="46"/>
        <v>0</v>
      </c>
      <c r="AE69" s="214"/>
      <c r="AF69" s="54"/>
      <c r="AI69" s="269"/>
      <c r="AJ69" s="260">
        <f t="shared" si="15"/>
        <v>0</v>
      </c>
      <c r="AK69" s="268"/>
      <c r="AL69" s="54"/>
    </row>
    <row r="70" spans="1:38" s="289" customFormat="1">
      <c r="A70" s="2">
        <v>6131</v>
      </c>
      <c r="B70" s="2" t="s">
        <v>224</v>
      </c>
      <c r="C70" s="331">
        <v>131</v>
      </c>
      <c r="D70" s="108">
        <f t="shared" si="89"/>
        <v>6.3650630918658379E-4</v>
      </c>
      <c r="E70" s="331">
        <v>131</v>
      </c>
      <c r="F70" s="108">
        <f t="shared" si="89"/>
        <v>8.1812949223974746E-4</v>
      </c>
      <c r="G70" s="331">
        <v>131</v>
      </c>
      <c r="H70" s="108">
        <f t="shared" si="89"/>
        <v>4.9321228767168501E-4</v>
      </c>
      <c r="I70" s="331">
        <v>131</v>
      </c>
      <c r="J70" s="108">
        <f t="shared" si="89"/>
        <v>5.5856793934791493E-4</v>
      </c>
      <c r="K70" s="331">
        <v>131</v>
      </c>
      <c r="L70" s="108">
        <f t="shared" si="89"/>
        <v>6.1072249810000944E-4</v>
      </c>
      <c r="M70" s="331">
        <v>131</v>
      </c>
      <c r="N70" s="108">
        <f t="shared" si="89"/>
        <v>4.3069708123855518E-4</v>
      </c>
      <c r="O70" s="331">
        <v>131</v>
      </c>
      <c r="P70" s="108">
        <f t="shared" si="89"/>
        <v>6.8028735408462264E-4</v>
      </c>
      <c r="Q70" s="331">
        <v>131</v>
      </c>
      <c r="R70" s="108">
        <f t="shared" si="89"/>
        <v>5.4785050056748049E-4</v>
      </c>
      <c r="S70" s="331">
        <v>131</v>
      </c>
      <c r="T70" s="108">
        <f t="shared" si="89"/>
        <v>5.4383737459943169E-4</v>
      </c>
      <c r="U70" s="331">
        <v>131</v>
      </c>
      <c r="V70" s="108">
        <f t="shared" si="89"/>
        <v>6.8561888301995461E-4</v>
      </c>
      <c r="W70" s="331">
        <v>131</v>
      </c>
      <c r="X70" s="108">
        <f t="shared" si="89"/>
        <v>6.7386563577587764E-4</v>
      </c>
      <c r="Y70" s="331">
        <v>131</v>
      </c>
      <c r="Z70" s="108">
        <f t="shared" si="89"/>
        <v>4.4607263212031485E-4</v>
      </c>
      <c r="AA70" s="105">
        <f t="shared" si="51"/>
        <v>1572</v>
      </c>
      <c r="AB70" s="108">
        <f t="shared" si="89"/>
        <v>5.7447100780391009E-4</v>
      </c>
      <c r="AC70" s="89">
        <f t="shared" si="52"/>
        <v>131</v>
      </c>
      <c r="AD70" s="108">
        <f t="shared" si="89"/>
        <v>5.7447100780391009E-4</v>
      </c>
      <c r="AE70" s="214"/>
      <c r="AF70" s="54"/>
      <c r="AI70" s="269"/>
      <c r="AJ70" s="260"/>
      <c r="AK70" s="268"/>
      <c r="AL70" s="54"/>
    </row>
    <row r="71" spans="1:38" s="289" customFormat="1">
      <c r="A71" s="2">
        <v>6132</v>
      </c>
      <c r="B71" s="2" t="s">
        <v>225</v>
      </c>
      <c r="C71" s="331">
        <v>9</v>
      </c>
      <c r="D71" s="108">
        <f t="shared" si="89"/>
        <v>4.3729441089154609E-5</v>
      </c>
      <c r="E71" s="331">
        <v>9</v>
      </c>
      <c r="F71" s="108">
        <f t="shared" si="89"/>
        <v>5.6207369695860512E-5</v>
      </c>
      <c r="G71" s="331">
        <v>9</v>
      </c>
      <c r="H71" s="108">
        <f t="shared" si="89"/>
        <v>3.3884813656833319E-5</v>
      </c>
      <c r="I71" s="331">
        <v>9</v>
      </c>
      <c r="J71" s="108">
        <f t="shared" si="89"/>
        <v>3.8374896596421634E-5</v>
      </c>
      <c r="K71" s="331">
        <v>9</v>
      </c>
      <c r="L71" s="108">
        <f t="shared" si="89"/>
        <v>4.1958034220611337E-5</v>
      </c>
      <c r="M71" s="331">
        <v>9</v>
      </c>
      <c r="N71" s="108">
        <f t="shared" si="89"/>
        <v>2.9589875810282415E-5</v>
      </c>
      <c r="O71" s="331">
        <v>9</v>
      </c>
      <c r="P71" s="108">
        <f t="shared" si="89"/>
        <v>4.6737299135584762E-5</v>
      </c>
      <c r="Q71" s="331">
        <v>9</v>
      </c>
      <c r="R71" s="108">
        <f t="shared" si="89"/>
        <v>3.7638584008452859E-5</v>
      </c>
      <c r="S71" s="331">
        <v>9</v>
      </c>
      <c r="T71" s="108">
        <f t="shared" si="89"/>
        <v>3.7362873064083091E-5</v>
      </c>
      <c r="U71" s="331">
        <v>9</v>
      </c>
      <c r="V71" s="108">
        <f t="shared" si="89"/>
        <v>4.7103587383050313E-5</v>
      </c>
      <c r="W71" s="331">
        <v>9</v>
      </c>
      <c r="X71" s="108">
        <f t="shared" si="89"/>
        <v>4.6296112381548849E-5</v>
      </c>
      <c r="Y71" s="331">
        <v>9</v>
      </c>
      <c r="Z71" s="108">
        <f t="shared" si="89"/>
        <v>3.0646211367044531E-5</v>
      </c>
      <c r="AA71" s="105">
        <f t="shared" si="51"/>
        <v>108</v>
      </c>
      <c r="AB71" s="108">
        <f t="shared" si="89"/>
        <v>3.9467473818589243E-5</v>
      </c>
      <c r="AC71" s="89">
        <f t="shared" si="52"/>
        <v>9</v>
      </c>
      <c r="AD71" s="108">
        <f t="shared" si="89"/>
        <v>3.9467473818589243E-5</v>
      </c>
      <c r="AE71" s="214"/>
      <c r="AF71" s="54"/>
      <c r="AI71" s="269"/>
      <c r="AJ71" s="260"/>
      <c r="AK71" s="268"/>
      <c r="AL71" s="54"/>
    </row>
    <row r="72" spans="1:38" s="289" customFormat="1">
      <c r="A72" s="2">
        <v>6133</v>
      </c>
      <c r="B72" s="2" t="s">
        <v>226</v>
      </c>
      <c r="C72" s="331">
        <v>25</v>
      </c>
      <c r="D72" s="108">
        <f t="shared" si="89"/>
        <v>1.2147066969209614E-4</v>
      </c>
      <c r="E72" s="331">
        <v>25</v>
      </c>
      <c r="F72" s="108">
        <f t="shared" si="89"/>
        <v>1.5613158248850142E-4</v>
      </c>
      <c r="G72" s="331">
        <v>25</v>
      </c>
      <c r="H72" s="108">
        <f t="shared" si="89"/>
        <v>9.4124482380092558E-5</v>
      </c>
      <c r="I72" s="331">
        <v>25</v>
      </c>
      <c r="J72" s="108">
        <f t="shared" si="89"/>
        <v>1.065969349900601E-4</v>
      </c>
      <c r="K72" s="331">
        <v>25</v>
      </c>
      <c r="L72" s="108">
        <f t="shared" si="89"/>
        <v>1.1655009505725371E-4</v>
      </c>
      <c r="M72" s="331">
        <v>25</v>
      </c>
      <c r="N72" s="108">
        <f t="shared" si="89"/>
        <v>8.2194099473006715E-5</v>
      </c>
      <c r="O72" s="331">
        <v>25</v>
      </c>
      <c r="P72" s="108">
        <f t="shared" si="89"/>
        <v>1.2982583093217989E-4</v>
      </c>
      <c r="Q72" s="331">
        <v>25</v>
      </c>
      <c r="R72" s="108">
        <f t="shared" si="89"/>
        <v>1.0455162224570239E-4</v>
      </c>
      <c r="S72" s="331">
        <v>25</v>
      </c>
      <c r="T72" s="108">
        <f t="shared" si="89"/>
        <v>1.0378575851134192E-4</v>
      </c>
      <c r="U72" s="331">
        <v>25</v>
      </c>
      <c r="V72" s="108">
        <f t="shared" si="89"/>
        <v>1.3084329828625088E-4</v>
      </c>
      <c r="W72" s="331">
        <v>25</v>
      </c>
      <c r="X72" s="108">
        <f t="shared" si="89"/>
        <v>1.2860031217096902E-4</v>
      </c>
      <c r="Y72" s="331">
        <v>25</v>
      </c>
      <c r="Z72" s="108">
        <f t="shared" si="89"/>
        <v>8.5128364908457037E-5</v>
      </c>
      <c r="AA72" s="105">
        <f t="shared" si="51"/>
        <v>300</v>
      </c>
      <c r="AB72" s="108">
        <f t="shared" si="89"/>
        <v>1.0963187171830347E-4</v>
      </c>
      <c r="AC72" s="89">
        <f t="shared" si="52"/>
        <v>25</v>
      </c>
      <c r="AD72" s="108">
        <f t="shared" si="89"/>
        <v>1.0963187171830347E-4</v>
      </c>
      <c r="AE72" s="214"/>
      <c r="AF72" s="54"/>
      <c r="AI72" s="269"/>
      <c r="AJ72" s="260"/>
      <c r="AK72" s="268"/>
      <c r="AL72" s="54"/>
    </row>
    <row r="73" spans="1:38" s="289" customFormat="1">
      <c r="A73" s="2">
        <v>6134</v>
      </c>
      <c r="B73" s="2" t="s">
        <v>227</v>
      </c>
      <c r="C73" s="331">
        <v>4.09</v>
      </c>
      <c r="D73" s="108">
        <f t="shared" si="89"/>
        <v>1.987260156162693E-5</v>
      </c>
      <c r="E73" s="331">
        <v>4.09</v>
      </c>
      <c r="F73" s="108">
        <f t="shared" si="89"/>
        <v>2.5543126895118832E-5</v>
      </c>
      <c r="G73" s="331">
        <v>4.09</v>
      </c>
      <c r="H73" s="108">
        <f t="shared" si="89"/>
        <v>1.539876531738314E-5</v>
      </c>
      <c r="I73" s="331">
        <v>4.09</v>
      </c>
      <c r="J73" s="108">
        <f t="shared" si="89"/>
        <v>1.743925856437383E-5</v>
      </c>
      <c r="K73" s="331">
        <v>4.09</v>
      </c>
      <c r="L73" s="108">
        <f t="shared" si="89"/>
        <v>1.9067595551366705E-5</v>
      </c>
      <c r="M73" s="331">
        <v>4.09</v>
      </c>
      <c r="N73" s="108">
        <f t="shared" si="89"/>
        <v>1.3446954673783897E-5</v>
      </c>
      <c r="O73" s="331">
        <v>4.09</v>
      </c>
      <c r="P73" s="108">
        <f t="shared" si="89"/>
        <v>2.1239505940504628E-5</v>
      </c>
      <c r="Q73" s="331">
        <v>4.09</v>
      </c>
      <c r="R73" s="108">
        <f t="shared" si="89"/>
        <v>1.7104645399396911E-5</v>
      </c>
      <c r="S73" s="331">
        <v>4.09</v>
      </c>
      <c r="T73" s="108">
        <f t="shared" si="89"/>
        <v>1.6979350092455539E-5</v>
      </c>
      <c r="U73" s="331">
        <v>4.09</v>
      </c>
      <c r="V73" s="108">
        <f t="shared" si="89"/>
        <v>2.1405963599630643E-5</v>
      </c>
      <c r="W73" s="331">
        <v>4.09</v>
      </c>
      <c r="X73" s="108">
        <f t="shared" si="89"/>
        <v>2.103901107117053E-5</v>
      </c>
      <c r="Y73" s="331">
        <v>4.09</v>
      </c>
      <c r="Z73" s="108">
        <f t="shared" si="89"/>
        <v>1.392700049902357E-5</v>
      </c>
      <c r="AA73" s="105">
        <f t="shared" si="51"/>
        <v>49.080000000000013</v>
      </c>
      <c r="AB73" s="108">
        <f t="shared" si="89"/>
        <v>1.7935774213114449E-5</v>
      </c>
      <c r="AC73" s="89">
        <f t="shared" si="52"/>
        <v>4.0900000000000007</v>
      </c>
      <c r="AD73" s="108">
        <f t="shared" si="89"/>
        <v>1.7935774213114449E-5</v>
      </c>
      <c r="AE73" s="214"/>
      <c r="AF73" s="54"/>
      <c r="AI73" s="269"/>
      <c r="AJ73" s="260"/>
      <c r="AK73" s="268"/>
      <c r="AL73" s="54"/>
    </row>
    <row r="74" spans="1:38" s="289" customFormat="1">
      <c r="A74" s="2">
        <v>6135</v>
      </c>
      <c r="B74" s="2" t="s">
        <v>228</v>
      </c>
      <c r="C74" s="331"/>
      <c r="D74" s="108">
        <f t="shared" si="89"/>
        <v>0</v>
      </c>
      <c r="E74" s="331"/>
      <c r="F74" s="108"/>
      <c r="G74" s="331"/>
      <c r="H74" s="108"/>
      <c r="I74" s="331"/>
      <c r="J74" s="108"/>
      <c r="K74" s="331"/>
      <c r="L74" s="108"/>
      <c r="M74" s="331"/>
      <c r="N74" s="108"/>
      <c r="O74" s="331"/>
      <c r="P74" s="108"/>
      <c r="Q74" s="331"/>
      <c r="R74" s="108"/>
      <c r="S74" s="331"/>
      <c r="T74" s="108"/>
      <c r="U74" s="331"/>
      <c r="V74" s="108"/>
      <c r="W74" s="331"/>
      <c r="X74" s="108"/>
      <c r="Y74" s="331"/>
      <c r="Z74" s="108"/>
      <c r="AA74" s="105">
        <f t="shared" si="51"/>
        <v>0</v>
      </c>
      <c r="AB74" s="108"/>
      <c r="AC74" s="89">
        <f t="shared" si="52"/>
        <v>0</v>
      </c>
      <c r="AD74" s="108"/>
      <c r="AE74" s="214"/>
      <c r="AF74" s="54"/>
      <c r="AI74" s="269"/>
      <c r="AJ74" s="260"/>
      <c r="AK74" s="268"/>
      <c r="AL74" s="54"/>
    </row>
    <row r="75" spans="1:38" s="289" customFormat="1">
      <c r="A75" s="2">
        <v>6136</v>
      </c>
      <c r="B75" s="2" t="s">
        <v>249</v>
      </c>
      <c r="C75" s="331">
        <f>354/12</f>
        <v>29.5</v>
      </c>
      <c r="D75" s="108">
        <f t="shared" si="89"/>
        <v>1.4333539023667346E-4</v>
      </c>
      <c r="E75" s="331">
        <f>354/12</f>
        <v>29.5</v>
      </c>
      <c r="F75" s="108">
        <f t="shared" si="89"/>
        <v>1.8423526733643168E-4</v>
      </c>
      <c r="G75" s="331">
        <f>354/12</f>
        <v>29.5</v>
      </c>
      <c r="H75" s="108">
        <f t="shared" si="89"/>
        <v>1.1106688920850922E-4</v>
      </c>
      <c r="I75" s="331">
        <f>354/12</f>
        <v>29.5</v>
      </c>
      <c r="J75" s="108">
        <f t="shared" si="89"/>
        <v>1.2578438328827093E-4</v>
      </c>
      <c r="K75" s="331">
        <f>354/12</f>
        <v>29.5</v>
      </c>
      <c r="L75" s="108">
        <f t="shared" si="89"/>
        <v>1.3752911216755937E-4</v>
      </c>
      <c r="M75" s="331">
        <f>354/12</f>
        <v>29.5</v>
      </c>
      <c r="N75" s="108">
        <f t="shared" si="89"/>
        <v>9.6989037378147916E-5</v>
      </c>
      <c r="O75" s="331">
        <f>354/12</f>
        <v>29.5</v>
      </c>
      <c r="P75" s="108">
        <f t="shared" si="89"/>
        <v>1.5319448049997227E-4</v>
      </c>
      <c r="Q75" s="331">
        <f>354/12</f>
        <v>29.5</v>
      </c>
      <c r="R75" s="108">
        <f t="shared" si="89"/>
        <v>1.2337091424992881E-4</v>
      </c>
      <c r="S75" s="331">
        <f>354/12</f>
        <v>29.5</v>
      </c>
      <c r="T75" s="108">
        <f t="shared" si="89"/>
        <v>1.2246719504338348E-4</v>
      </c>
      <c r="U75" s="331">
        <f>354/12</f>
        <v>29.5</v>
      </c>
      <c r="V75" s="108">
        <f t="shared" si="89"/>
        <v>1.5439509197777602E-4</v>
      </c>
      <c r="W75" s="331">
        <f>354/12</f>
        <v>29.5</v>
      </c>
      <c r="X75" s="108">
        <f t="shared" si="89"/>
        <v>1.5174836836174345E-4</v>
      </c>
      <c r="Y75" s="331">
        <f>354/12</f>
        <v>29.5</v>
      </c>
      <c r="Z75" s="108">
        <f t="shared" si="89"/>
        <v>1.004514705919793E-4</v>
      </c>
      <c r="AA75" s="105">
        <f t="shared" si="51"/>
        <v>354</v>
      </c>
      <c r="AB75" s="108">
        <f t="shared" si="89"/>
        <v>1.2936560862759807E-4</v>
      </c>
      <c r="AC75" s="89">
        <f t="shared" si="52"/>
        <v>29.5</v>
      </c>
      <c r="AD75" s="108">
        <f t="shared" si="89"/>
        <v>1.2936560862759807E-4</v>
      </c>
      <c r="AE75" s="214"/>
      <c r="AF75" s="54"/>
      <c r="AI75" s="269"/>
      <c r="AJ75" s="260"/>
      <c r="AK75" s="268"/>
      <c r="AL75" s="54"/>
    </row>
    <row r="76" spans="1:38" s="1" customFormat="1" ht="15.75" thickBot="1">
      <c r="A76" s="4">
        <v>6199</v>
      </c>
      <c r="B76" s="4" t="s">
        <v>23</v>
      </c>
      <c r="C76" s="22">
        <f>SUM(C42:C75)</f>
        <v>64597.035499999991</v>
      </c>
      <c r="D76" s="71">
        <f>C76/C12</f>
        <v>0.31386580649236429</v>
      </c>
      <c r="E76" s="357">
        <f>SUM(E42:E75)</f>
        <v>64924.371499999994</v>
      </c>
      <c r="F76" s="71">
        <f>E76/E12</f>
        <v>0.40546979457465437</v>
      </c>
      <c r="G76" s="22">
        <f>SUM(G42:G75)</f>
        <v>64331.431499999992</v>
      </c>
      <c r="H76" s="71">
        <f>G76/G12</f>
        <v>0.24220650762831522</v>
      </c>
      <c r="I76" s="22">
        <f>SUM(I42:I75)</f>
        <v>65399.689499999993</v>
      </c>
      <c r="J76" s="71">
        <f>I76/I12</f>
        <v>0.27885625800006464</v>
      </c>
      <c r="K76" s="22">
        <f>SUM(K42:K75)</f>
        <v>64996.579999999987</v>
      </c>
      <c r="L76" s="71">
        <f>K76/K12</f>
        <v>0.30301430309585575</v>
      </c>
      <c r="M76" s="22">
        <f>SUM(M42:M75)</f>
        <v>70819.968499999988</v>
      </c>
      <c r="N76" s="71">
        <f>M76/M12</f>
        <v>0.23283934142256804</v>
      </c>
      <c r="O76" s="22">
        <f>SUM(O42:O75)</f>
        <v>70399.700999999986</v>
      </c>
      <c r="P76" s="71">
        <f>O76/O12</f>
        <v>0.36558798718808055</v>
      </c>
      <c r="Q76" s="22">
        <f>SUM(Q42:Q75)</f>
        <v>71042.447499999995</v>
      </c>
      <c r="R76" s="71">
        <f>Q76/Q12</f>
        <v>0.29710412537720576</v>
      </c>
      <c r="S76" s="22">
        <f>SUM(S42:S75)</f>
        <v>72819.37</v>
      </c>
      <c r="T76" s="71">
        <f t="shared" ref="T76:T122" si="101">S76/S$12</f>
        <v>0.30230454199072226</v>
      </c>
      <c r="U76" s="22">
        <f>SUM(U42:U75)</f>
        <v>71220.153666666665</v>
      </c>
      <c r="V76" s="71">
        <f>U76/U12</f>
        <v>0.37274719240801163</v>
      </c>
      <c r="W76" s="22">
        <f>SUM(W42:W75)</f>
        <v>70220.153666666665</v>
      </c>
      <c r="X76" s="71">
        <f>W76/W12</f>
        <v>0.3612133472890699</v>
      </c>
      <c r="Y76" s="22">
        <f>SUM(Y42:Y75)</f>
        <v>70220.153666666665</v>
      </c>
      <c r="Z76" s="71">
        <f t="shared" ref="Z76:Z122" si="102">Y76/Y$12</f>
        <v>0.23910907461055708</v>
      </c>
      <c r="AA76" s="109">
        <f>SUM(AA42:AA75)</f>
        <v>820991.05599999975</v>
      </c>
      <c r="AB76" s="110">
        <f t="shared" ref="AB76:AB122" si="103">AA76/AA$12</f>
        <v>0.30002262044422157</v>
      </c>
      <c r="AC76" s="93">
        <f>SUM(AC42:AC75)</f>
        <v>68415.921333333317</v>
      </c>
      <c r="AD76" s="94">
        <f t="shared" ref="AD76:AD122" si="104">AC76/AC$12</f>
        <v>0.30002262044422157</v>
      </c>
      <c r="AE76" s="218"/>
      <c r="AF76" s="219"/>
      <c r="AG76" s="209"/>
      <c r="AH76" s="134"/>
      <c r="AI76" s="269"/>
      <c r="AJ76" s="260">
        <f t="shared" si="15"/>
        <v>4178844.4750399999</v>
      </c>
      <c r="AK76" s="268"/>
      <c r="AL76" s="54"/>
    </row>
    <row r="77" spans="1:38" s="1" customFormat="1" ht="15.75" thickTop="1">
      <c r="A77" s="2">
        <v>6201</v>
      </c>
      <c r="B77" s="2" t="s">
        <v>24</v>
      </c>
      <c r="C77" s="37">
        <v>8955</v>
      </c>
      <c r="D77" s="49">
        <f t="shared" ref="D77:D92" si="105">C77/C$12</f>
        <v>4.3510793883708841E-2</v>
      </c>
      <c r="E77" s="37">
        <v>8955</v>
      </c>
      <c r="F77" s="49">
        <f t="shared" ref="F77:F92" si="106">E77/E$12</f>
        <v>5.5926332847381209E-2</v>
      </c>
      <c r="G77" s="37">
        <v>8955</v>
      </c>
      <c r="H77" s="49">
        <f t="shared" ref="H77:H92" si="107">G77/G$12</f>
        <v>3.3715389588549152E-2</v>
      </c>
      <c r="I77" s="37">
        <v>8955</v>
      </c>
      <c r="J77" s="49">
        <f t="shared" ref="J77:J92" si="108">I77/I$12</f>
        <v>3.8183022113439526E-2</v>
      </c>
      <c r="K77" s="37">
        <v>8955</v>
      </c>
      <c r="L77" s="49">
        <f t="shared" ref="L77:L92" si="109">K77/K$12</f>
        <v>4.1748244049508276E-2</v>
      </c>
      <c r="M77" s="37">
        <v>8955</v>
      </c>
      <c r="N77" s="49">
        <f t="shared" ref="N77:N92" si="110">M77/M$12</f>
        <v>2.9441926431231003E-2</v>
      </c>
      <c r="O77" s="37">
        <v>8955</v>
      </c>
      <c r="P77" s="49">
        <f t="shared" ref="P77:P92" si="111">O77/O$12</f>
        <v>4.6503612639906836E-2</v>
      </c>
      <c r="Q77" s="37">
        <v>8955</v>
      </c>
      <c r="R77" s="49">
        <f t="shared" ref="R77:R92" si="112">Q77/Q$12</f>
        <v>3.7450391088410598E-2</v>
      </c>
      <c r="S77" s="37">
        <v>8955</v>
      </c>
      <c r="T77" s="49">
        <f t="shared" si="101"/>
        <v>3.7176058698762678E-2</v>
      </c>
      <c r="U77" s="37">
        <v>8955</v>
      </c>
      <c r="V77" s="49">
        <f t="shared" ref="V77:V92" si="113">U77/U$12</f>
        <v>4.6868069446135065E-2</v>
      </c>
      <c r="W77" s="37">
        <v>8955</v>
      </c>
      <c r="X77" s="49">
        <f t="shared" ref="X77:X92" si="114">W77/W$12</f>
        <v>4.60646318196411E-2</v>
      </c>
      <c r="Y77" s="37">
        <v>8955</v>
      </c>
      <c r="Z77" s="49">
        <f t="shared" si="102"/>
        <v>3.0492980310209309E-2</v>
      </c>
      <c r="AA77" s="105">
        <f t="shared" ref="AA77:AA92" si="115">C77+E77+G77+I77+K77+M77+O77+Q77+S77+U77+W77+Y77</f>
        <v>107460</v>
      </c>
      <c r="AB77" s="108">
        <f t="shared" si="103"/>
        <v>3.9270136449496298E-2</v>
      </c>
      <c r="AC77" s="89">
        <f t="shared" ref="AC77:AC92" si="116">AA77/12</f>
        <v>8955</v>
      </c>
      <c r="AD77" s="92">
        <f t="shared" si="104"/>
        <v>3.9270136449496298E-2</v>
      </c>
      <c r="AE77" s="214"/>
      <c r="AF77" s="54"/>
      <c r="AI77" s="269"/>
      <c r="AJ77" s="260">
        <f t="shared" si="15"/>
        <v>546971.4</v>
      </c>
      <c r="AK77" s="268"/>
      <c r="AL77" s="54"/>
    </row>
    <row r="78" spans="1:38" s="1" customFormat="1">
      <c r="A78" s="2">
        <v>6202</v>
      </c>
      <c r="B78" s="2" t="s">
        <v>25</v>
      </c>
      <c r="C78" s="37">
        <v>0</v>
      </c>
      <c r="D78" s="49">
        <f t="shared" si="105"/>
        <v>0</v>
      </c>
      <c r="E78" s="37">
        <v>0</v>
      </c>
      <c r="F78" s="49">
        <f t="shared" si="106"/>
        <v>0</v>
      </c>
      <c r="G78" s="37">
        <v>0</v>
      </c>
      <c r="H78" s="49">
        <f t="shared" si="107"/>
        <v>0</v>
      </c>
      <c r="I78" s="37">
        <v>0</v>
      </c>
      <c r="J78" s="49">
        <f t="shared" si="108"/>
        <v>0</v>
      </c>
      <c r="K78" s="37">
        <v>0</v>
      </c>
      <c r="L78" s="49">
        <f t="shared" si="109"/>
        <v>0</v>
      </c>
      <c r="M78" s="37">
        <v>0</v>
      </c>
      <c r="N78" s="49">
        <f t="shared" si="110"/>
        <v>0</v>
      </c>
      <c r="O78" s="37">
        <v>0</v>
      </c>
      <c r="P78" s="49">
        <f t="shared" si="111"/>
        <v>0</v>
      </c>
      <c r="Q78" s="37">
        <v>0</v>
      </c>
      <c r="R78" s="49">
        <f t="shared" si="112"/>
        <v>0</v>
      </c>
      <c r="S78" s="37">
        <v>0</v>
      </c>
      <c r="T78" s="49">
        <f t="shared" si="101"/>
        <v>0</v>
      </c>
      <c r="U78" s="37">
        <v>0</v>
      </c>
      <c r="V78" s="49">
        <f t="shared" si="113"/>
        <v>0</v>
      </c>
      <c r="W78" s="37">
        <v>0</v>
      </c>
      <c r="X78" s="49">
        <f t="shared" si="114"/>
        <v>0</v>
      </c>
      <c r="Y78" s="37">
        <v>0</v>
      </c>
      <c r="Z78" s="49">
        <f t="shared" si="102"/>
        <v>0</v>
      </c>
      <c r="AA78" s="105">
        <f t="shared" si="115"/>
        <v>0</v>
      </c>
      <c r="AB78" s="108">
        <f t="shared" si="103"/>
        <v>0</v>
      </c>
      <c r="AC78" s="89">
        <f t="shared" si="116"/>
        <v>0</v>
      </c>
      <c r="AD78" s="92">
        <f t="shared" si="104"/>
        <v>0</v>
      </c>
      <c r="AE78" s="214"/>
      <c r="AF78" s="54"/>
      <c r="AI78" s="269"/>
      <c r="AJ78" s="260">
        <f t="shared" si="15"/>
        <v>0</v>
      </c>
      <c r="AK78" s="268"/>
      <c r="AL78" s="54"/>
    </row>
    <row r="79" spans="1:38" s="1" customFormat="1">
      <c r="A79" s="2">
        <v>6203</v>
      </c>
      <c r="B79" s="2" t="s">
        <v>26</v>
      </c>
      <c r="C79" s="37">
        <v>995</v>
      </c>
      <c r="D79" s="49">
        <f t="shared" si="105"/>
        <v>4.8345326537454266E-3</v>
      </c>
      <c r="E79" s="37">
        <v>995</v>
      </c>
      <c r="F79" s="49">
        <f t="shared" si="106"/>
        <v>6.2140369830423568E-3</v>
      </c>
      <c r="G79" s="37">
        <v>995</v>
      </c>
      <c r="H79" s="49">
        <f t="shared" si="107"/>
        <v>3.7461543987276839E-3</v>
      </c>
      <c r="I79" s="37">
        <v>995</v>
      </c>
      <c r="J79" s="49">
        <f t="shared" si="108"/>
        <v>4.2425580126043919E-3</v>
      </c>
      <c r="K79" s="37">
        <v>995</v>
      </c>
      <c r="L79" s="49">
        <f t="shared" si="109"/>
        <v>4.6386937832786981E-3</v>
      </c>
      <c r="M79" s="37">
        <v>995</v>
      </c>
      <c r="N79" s="49">
        <f t="shared" si="110"/>
        <v>3.271325159025667E-3</v>
      </c>
      <c r="O79" s="37">
        <v>995</v>
      </c>
      <c r="P79" s="49">
        <f t="shared" si="111"/>
        <v>5.1670680711007593E-3</v>
      </c>
      <c r="Q79" s="37">
        <v>995</v>
      </c>
      <c r="R79" s="49">
        <f t="shared" si="112"/>
        <v>4.1611545653789548E-3</v>
      </c>
      <c r="S79" s="37">
        <v>995</v>
      </c>
      <c r="T79" s="49">
        <f t="shared" si="101"/>
        <v>4.1306731887514082E-3</v>
      </c>
      <c r="U79" s="37">
        <v>995</v>
      </c>
      <c r="V79" s="49">
        <f t="shared" si="113"/>
        <v>5.2075632717927846E-3</v>
      </c>
      <c r="W79" s="37">
        <v>995</v>
      </c>
      <c r="X79" s="49">
        <f t="shared" si="114"/>
        <v>5.118292424404567E-3</v>
      </c>
      <c r="Y79" s="37">
        <v>995</v>
      </c>
      <c r="Z79" s="49">
        <f t="shared" si="102"/>
        <v>3.3881089233565899E-3</v>
      </c>
      <c r="AA79" s="105">
        <f t="shared" si="115"/>
        <v>11940</v>
      </c>
      <c r="AB79" s="108">
        <f t="shared" si="103"/>
        <v>4.3633484943884776E-3</v>
      </c>
      <c r="AC79" s="89">
        <f t="shared" si="116"/>
        <v>995</v>
      </c>
      <c r="AD79" s="92">
        <f t="shared" si="104"/>
        <v>4.3633484943884776E-3</v>
      </c>
      <c r="AE79" s="214"/>
      <c r="AF79" s="54"/>
      <c r="AI79" s="269"/>
      <c r="AJ79" s="260">
        <f t="shared" si="15"/>
        <v>60774.600000000013</v>
      </c>
      <c r="AK79" s="268"/>
      <c r="AL79" s="54"/>
    </row>
    <row r="80" spans="1:38" s="1" customFormat="1">
      <c r="A80" s="2">
        <v>6204</v>
      </c>
      <c r="B80" s="2" t="s">
        <v>27</v>
      </c>
      <c r="C80" s="46"/>
      <c r="D80" s="49">
        <f t="shared" si="105"/>
        <v>0</v>
      </c>
      <c r="E80" s="46"/>
      <c r="F80" s="49">
        <f t="shared" si="106"/>
        <v>0</v>
      </c>
      <c r="G80" s="46"/>
      <c r="H80" s="49">
        <f t="shared" si="107"/>
        <v>0</v>
      </c>
      <c r="I80" s="46"/>
      <c r="J80" s="49">
        <f t="shared" si="108"/>
        <v>0</v>
      </c>
      <c r="K80" s="46"/>
      <c r="L80" s="49">
        <f t="shared" si="109"/>
        <v>0</v>
      </c>
      <c r="M80" s="46"/>
      <c r="N80" s="49">
        <f t="shared" si="110"/>
        <v>0</v>
      </c>
      <c r="O80" s="46"/>
      <c r="P80" s="49">
        <f t="shared" si="111"/>
        <v>0</v>
      </c>
      <c r="Q80" s="46"/>
      <c r="R80" s="49">
        <f t="shared" si="112"/>
        <v>0</v>
      </c>
      <c r="S80" s="46"/>
      <c r="T80" s="49">
        <f t="shared" si="101"/>
        <v>0</v>
      </c>
      <c r="U80" s="46"/>
      <c r="V80" s="49">
        <f t="shared" si="113"/>
        <v>0</v>
      </c>
      <c r="W80" s="46"/>
      <c r="X80" s="49">
        <f t="shared" si="114"/>
        <v>0</v>
      </c>
      <c r="Y80" s="46"/>
      <c r="Z80" s="49">
        <f t="shared" si="102"/>
        <v>0</v>
      </c>
      <c r="AA80" s="105">
        <f t="shared" si="115"/>
        <v>0</v>
      </c>
      <c r="AB80" s="108">
        <f t="shared" si="103"/>
        <v>0</v>
      </c>
      <c r="AC80" s="89">
        <f t="shared" si="116"/>
        <v>0</v>
      </c>
      <c r="AD80" s="92">
        <f t="shared" si="104"/>
        <v>0</v>
      </c>
      <c r="AE80" s="214"/>
      <c r="AF80" s="54"/>
      <c r="AI80" s="269"/>
      <c r="AJ80" s="260">
        <f t="shared" si="15"/>
        <v>0</v>
      </c>
      <c r="AK80" s="268"/>
      <c r="AL80" s="54"/>
    </row>
    <row r="81" spans="1:38" s="1" customFormat="1">
      <c r="A81" s="2">
        <v>6205</v>
      </c>
      <c r="B81" s="2" t="s">
        <v>28</v>
      </c>
      <c r="C81" s="46"/>
      <c r="D81" s="49">
        <f t="shared" si="105"/>
        <v>0</v>
      </c>
      <c r="E81" s="46"/>
      <c r="F81" s="49">
        <f t="shared" si="106"/>
        <v>0</v>
      </c>
      <c r="G81" s="46"/>
      <c r="H81" s="49">
        <f t="shared" si="107"/>
        <v>0</v>
      </c>
      <c r="I81" s="46"/>
      <c r="J81" s="49">
        <f t="shared" si="108"/>
        <v>0</v>
      </c>
      <c r="K81" s="46"/>
      <c r="L81" s="49">
        <f t="shared" si="109"/>
        <v>0</v>
      </c>
      <c r="M81" s="46"/>
      <c r="N81" s="49">
        <f t="shared" si="110"/>
        <v>0</v>
      </c>
      <c r="O81" s="46"/>
      <c r="P81" s="49">
        <f t="shared" si="111"/>
        <v>0</v>
      </c>
      <c r="Q81" s="46"/>
      <c r="R81" s="49">
        <f t="shared" si="112"/>
        <v>0</v>
      </c>
      <c r="S81" s="46"/>
      <c r="T81" s="49">
        <f t="shared" si="101"/>
        <v>0</v>
      </c>
      <c r="U81" s="46"/>
      <c r="V81" s="49">
        <f t="shared" si="113"/>
        <v>0</v>
      </c>
      <c r="W81" s="46"/>
      <c r="X81" s="49">
        <f t="shared" si="114"/>
        <v>0</v>
      </c>
      <c r="Y81" s="46"/>
      <c r="Z81" s="49">
        <f t="shared" si="102"/>
        <v>0</v>
      </c>
      <c r="AA81" s="105">
        <f t="shared" si="115"/>
        <v>0</v>
      </c>
      <c r="AB81" s="108">
        <f t="shared" si="103"/>
        <v>0</v>
      </c>
      <c r="AC81" s="89">
        <f t="shared" si="116"/>
        <v>0</v>
      </c>
      <c r="AD81" s="92">
        <f t="shared" si="104"/>
        <v>0</v>
      </c>
      <c r="AE81" s="214"/>
      <c r="AF81" s="54"/>
      <c r="AI81" s="269"/>
      <c r="AJ81" s="260">
        <f t="shared" ref="AJ81:AJ152" si="117">C81*5.09+E81*5.09+G81*5.09+I81*5.09+K81*5.09+M81*5.09+O81*5.09+Q81*5.09+S81*5.09+U81*5.09+W81*5.09+Y81*5.09</f>
        <v>0</v>
      </c>
      <c r="AK81" s="268"/>
      <c r="AL81" s="54"/>
    </row>
    <row r="82" spans="1:38" s="1" customFormat="1">
      <c r="A82" s="2">
        <v>6206</v>
      </c>
      <c r="B82" s="2" t="s">
        <v>193</v>
      </c>
      <c r="C82" s="46">
        <v>382</v>
      </c>
      <c r="D82" s="49">
        <f t="shared" si="105"/>
        <v>1.8560718328952291E-3</v>
      </c>
      <c r="E82" s="46">
        <v>382</v>
      </c>
      <c r="F82" s="49">
        <f t="shared" si="106"/>
        <v>2.3856905804243017E-3</v>
      </c>
      <c r="G82" s="46">
        <v>382</v>
      </c>
      <c r="H82" s="49">
        <f t="shared" si="107"/>
        <v>1.4382220907678143E-3</v>
      </c>
      <c r="I82" s="46">
        <v>382</v>
      </c>
      <c r="J82" s="49">
        <f t="shared" si="108"/>
        <v>1.6288011666481183E-3</v>
      </c>
      <c r="K82" s="46">
        <v>382</v>
      </c>
      <c r="L82" s="49">
        <f t="shared" si="109"/>
        <v>1.7808854524748367E-3</v>
      </c>
      <c r="M82" s="46">
        <v>382</v>
      </c>
      <c r="N82" s="49">
        <f t="shared" si="110"/>
        <v>1.2559258399475425E-3</v>
      </c>
      <c r="O82" s="46">
        <v>382</v>
      </c>
      <c r="P82" s="49">
        <f t="shared" si="111"/>
        <v>1.9837386966437085E-3</v>
      </c>
      <c r="Q82" s="46">
        <v>382</v>
      </c>
      <c r="R82" s="49">
        <f t="shared" si="112"/>
        <v>1.5975487879143326E-3</v>
      </c>
      <c r="S82" s="46">
        <v>382</v>
      </c>
      <c r="T82" s="49">
        <f t="shared" si="101"/>
        <v>1.5858463900533047E-3</v>
      </c>
      <c r="U82" s="46">
        <v>382</v>
      </c>
      <c r="V82" s="49">
        <f t="shared" si="113"/>
        <v>1.9992855978139133E-3</v>
      </c>
      <c r="W82" s="46">
        <v>382</v>
      </c>
      <c r="X82" s="49">
        <f t="shared" si="114"/>
        <v>1.9650127699724065E-3</v>
      </c>
      <c r="Y82" s="46">
        <v>382</v>
      </c>
      <c r="Z82" s="49">
        <f t="shared" si="102"/>
        <v>1.3007614158012234E-3</v>
      </c>
      <c r="AA82" s="105">
        <f t="shared" si="115"/>
        <v>4584</v>
      </c>
      <c r="AB82" s="108">
        <f t="shared" si="103"/>
        <v>1.675174999855677E-3</v>
      </c>
      <c r="AC82" s="89">
        <f t="shared" si="116"/>
        <v>382</v>
      </c>
      <c r="AD82" s="92">
        <f t="shared" si="104"/>
        <v>1.675174999855677E-3</v>
      </c>
      <c r="AE82" s="214"/>
      <c r="AF82" s="54"/>
      <c r="AI82" s="269"/>
      <c r="AJ82" s="260">
        <f t="shared" si="117"/>
        <v>23332.560000000001</v>
      </c>
      <c r="AK82" s="268"/>
      <c r="AL82" s="54"/>
    </row>
    <row r="83" spans="1:38" s="1" customFormat="1">
      <c r="A83" s="2">
        <v>6207</v>
      </c>
      <c r="B83" s="2" t="s">
        <v>194</v>
      </c>
      <c r="C83" s="46"/>
      <c r="D83" s="49">
        <f t="shared" si="105"/>
        <v>0</v>
      </c>
      <c r="E83" s="46"/>
      <c r="F83" s="49">
        <f t="shared" si="106"/>
        <v>0</v>
      </c>
      <c r="G83" s="46"/>
      <c r="H83" s="49">
        <f t="shared" si="107"/>
        <v>0</v>
      </c>
      <c r="I83" s="46"/>
      <c r="J83" s="49">
        <f t="shared" si="108"/>
        <v>0</v>
      </c>
      <c r="K83" s="46"/>
      <c r="L83" s="49">
        <f t="shared" si="109"/>
        <v>0</v>
      </c>
      <c r="M83" s="46"/>
      <c r="N83" s="49">
        <f t="shared" si="110"/>
        <v>0</v>
      </c>
      <c r="O83" s="46"/>
      <c r="P83" s="49">
        <f t="shared" si="111"/>
        <v>0</v>
      </c>
      <c r="Q83" s="46"/>
      <c r="R83" s="49">
        <f t="shared" si="112"/>
        <v>0</v>
      </c>
      <c r="S83" s="46"/>
      <c r="T83" s="49">
        <f t="shared" si="101"/>
        <v>0</v>
      </c>
      <c r="U83" s="46"/>
      <c r="V83" s="49">
        <f t="shared" si="113"/>
        <v>0</v>
      </c>
      <c r="W83" s="46"/>
      <c r="X83" s="49">
        <f t="shared" si="114"/>
        <v>0</v>
      </c>
      <c r="Y83" s="46"/>
      <c r="Z83" s="49">
        <f t="shared" si="102"/>
        <v>0</v>
      </c>
      <c r="AA83" s="105">
        <f t="shared" si="115"/>
        <v>0</v>
      </c>
      <c r="AB83" s="108">
        <f t="shared" si="103"/>
        <v>0</v>
      </c>
      <c r="AC83" s="89">
        <f t="shared" si="116"/>
        <v>0</v>
      </c>
      <c r="AD83" s="92">
        <f t="shared" si="104"/>
        <v>0</v>
      </c>
      <c r="AE83" s="214"/>
      <c r="AF83" s="54"/>
      <c r="AI83" s="269"/>
      <c r="AJ83" s="260">
        <f t="shared" si="117"/>
        <v>0</v>
      </c>
      <c r="AK83" s="268"/>
      <c r="AL83" s="54"/>
    </row>
    <row r="84" spans="1:38" s="1" customFormat="1">
      <c r="A84" s="2">
        <v>6208</v>
      </c>
      <c r="B84" s="2" t="s">
        <v>195</v>
      </c>
      <c r="C84" s="46"/>
      <c r="D84" s="49">
        <f t="shared" si="105"/>
        <v>0</v>
      </c>
      <c r="E84" s="46"/>
      <c r="F84" s="49">
        <f t="shared" si="106"/>
        <v>0</v>
      </c>
      <c r="G84" s="46"/>
      <c r="H84" s="49">
        <f t="shared" si="107"/>
        <v>0</v>
      </c>
      <c r="I84" s="46"/>
      <c r="J84" s="49">
        <f t="shared" si="108"/>
        <v>0</v>
      </c>
      <c r="K84" s="46"/>
      <c r="L84" s="49">
        <f t="shared" si="109"/>
        <v>0</v>
      </c>
      <c r="M84" s="46"/>
      <c r="N84" s="49">
        <f t="shared" si="110"/>
        <v>0</v>
      </c>
      <c r="O84" s="46"/>
      <c r="P84" s="49">
        <f t="shared" si="111"/>
        <v>0</v>
      </c>
      <c r="Q84" s="46"/>
      <c r="R84" s="49">
        <f t="shared" si="112"/>
        <v>0</v>
      </c>
      <c r="S84" s="46"/>
      <c r="T84" s="49">
        <f t="shared" si="101"/>
        <v>0</v>
      </c>
      <c r="U84" s="46"/>
      <c r="V84" s="49">
        <f t="shared" si="113"/>
        <v>0</v>
      </c>
      <c r="W84" s="46"/>
      <c r="X84" s="49">
        <f t="shared" si="114"/>
        <v>0</v>
      </c>
      <c r="Y84" s="46"/>
      <c r="Z84" s="49">
        <f t="shared" si="102"/>
        <v>0</v>
      </c>
      <c r="AA84" s="105">
        <f t="shared" si="115"/>
        <v>0</v>
      </c>
      <c r="AB84" s="108">
        <f t="shared" si="103"/>
        <v>0</v>
      </c>
      <c r="AC84" s="89">
        <f t="shared" si="116"/>
        <v>0</v>
      </c>
      <c r="AD84" s="92">
        <f t="shared" si="104"/>
        <v>0</v>
      </c>
      <c r="AE84" s="214"/>
      <c r="AF84" s="54"/>
      <c r="AI84" s="269"/>
      <c r="AJ84" s="260">
        <f t="shared" si="117"/>
        <v>0</v>
      </c>
      <c r="AK84" s="268"/>
      <c r="AL84" s="54"/>
    </row>
    <row r="85" spans="1:38" s="1" customFormat="1">
      <c r="A85" s="2">
        <v>6209</v>
      </c>
      <c r="B85" s="128" t="s">
        <v>29</v>
      </c>
      <c r="C85" s="46">
        <v>386.94444444444446</v>
      </c>
      <c r="D85" s="49">
        <f t="shared" si="105"/>
        <v>1.8800960320121103E-3</v>
      </c>
      <c r="E85" s="46">
        <v>386.94444444444446</v>
      </c>
      <c r="F85" s="49">
        <f t="shared" si="106"/>
        <v>2.4165699378498056E-3</v>
      </c>
      <c r="G85" s="46">
        <v>386.94444444444446</v>
      </c>
      <c r="H85" s="49">
        <f t="shared" si="107"/>
        <v>1.4568378217274325E-3</v>
      </c>
      <c r="I85" s="46">
        <v>386.94444444444446</v>
      </c>
      <c r="J85" s="49">
        <f t="shared" si="108"/>
        <v>1.6498836715683747E-3</v>
      </c>
      <c r="K85" s="46">
        <v>386.94444444444446</v>
      </c>
      <c r="L85" s="49">
        <f t="shared" si="109"/>
        <v>1.8039364712750493E-3</v>
      </c>
      <c r="M85" s="46">
        <v>386.94444444444446</v>
      </c>
      <c r="N85" s="49">
        <f t="shared" si="110"/>
        <v>1.2721820062877595E-3</v>
      </c>
      <c r="O85" s="46">
        <v>386.94444444444446</v>
      </c>
      <c r="P85" s="49">
        <f t="shared" si="111"/>
        <v>2.0094153609836289E-3</v>
      </c>
      <c r="Q85" s="46">
        <v>386.94444444444446</v>
      </c>
      <c r="R85" s="49">
        <f t="shared" si="112"/>
        <v>1.6182267754251492E-3</v>
      </c>
      <c r="S85" s="46">
        <v>386.94444444444446</v>
      </c>
      <c r="T85" s="49">
        <f t="shared" si="101"/>
        <v>1.6063729067366589E-3</v>
      </c>
      <c r="U85" s="46">
        <v>386.94444444444446</v>
      </c>
      <c r="V85" s="49">
        <f t="shared" si="113"/>
        <v>2.025163494586083E-3</v>
      </c>
      <c r="W85" s="46">
        <v>386.94444444444446</v>
      </c>
      <c r="X85" s="49">
        <f t="shared" si="114"/>
        <v>1.9904470539351092E-3</v>
      </c>
      <c r="Y85" s="46">
        <v>386.94444444444446</v>
      </c>
      <c r="Z85" s="49">
        <f t="shared" si="102"/>
        <v>1.3175979146386738E-3</v>
      </c>
      <c r="AA85" s="105">
        <f t="shared" si="115"/>
        <v>4643.333333333333</v>
      </c>
      <c r="AB85" s="108">
        <f t="shared" si="103"/>
        <v>1.6968577478177413E-3</v>
      </c>
      <c r="AC85" s="89">
        <f t="shared" si="116"/>
        <v>386.9444444444444</v>
      </c>
      <c r="AD85" s="92">
        <f t="shared" si="104"/>
        <v>1.6968577478177411E-3</v>
      </c>
      <c r="AE85" s="214"/>
      <c r="AF85" s="54"/>
      <c r="AI85" s="269"/>
      <c r="AJ85" s="260">
        <f t="shared" si="117"/>
        <v>23634.566666666669</v>
      </c>
      <c r="AK85" s="268"/>
      <c r="AL85" s="54"/>
    </row>
    <row r="86" spans="1:38" s="1" customFormat="1">
      <c r="A86" s="2">
        <v>6210</v>
      </c>
      <c r="B86" s="2" t="s">
        <v>30</v>
      </c>
      <c r="C86" s="46"/>
      <c r="D86" s="49">
        <f t="shared" si="105"/>
        <v>0</v>
      </c>
      <c r="E86" s="46"/>
      <c r="F86" s="49">
        <f t="shared" si="106"/>
        <v>0</v>
      </c>
      <c r="G86" s="46"/>
      <c r="H86" s="49">
        <f t="shared" si="107"/>
        <v>0</v>
      </c>
      <c r="I86" s="46"/>
      <c r="J86" s="49">
        <f t="shared" si="108"/>
        <v>0</v>
      </c>
      <c r="K86" s="46"/>
      <c r="L86" s="49">
        <f t="shared" si="109"/>
        <v>0</v>
      </c>
      <c r="M86" s="46"/>
      <c r="N86" s="49">
        <f t="shared" si="110"/>
        <v>0</v>
      </c>
      <c r="O86" s="46"/>
      <c r="P86" s="49">
        <f t="shared" si="111"/>
        <v>0</v>
      </c>
      <c r="Q86" s="46"/>
      <c r="R86" s="49">
        <f t="shared" si="112"/>
        <v>0</v>
      </c>
      <c r="S86" s="46"/>
      <c r="T86" s="49">
        <f t="shared" si="101"/>
        <v>0</v>
      </c>
      <c r="U86" s="46"/>
      <c r="V86" s="49">
        <f t="shared" si="113"/>
        <v>0</v>
      </c>
      <c r="W86" s="46"/>
      <c r="X86" s="49">
        <f t="shared" si="114"/>
        <v>0</v>
      </c>
      <c r="Y86" s="46"/>
      <c r="Z86" s="49">
        <f t="shared" si="102"/>
        <v>0</v>
      </c>
      <c r="AA86" s="105">
        <f t="shared" si="115"/>
        <v>0</v>
      </c>
      <c r="AB86" s="108">
        <f t="shared" si="103"/>
        <v>0</v>
      </c>
      <c r="AC86" s="89">
        <f t="shared" si="116"/>
        <v>0</v>
      </c>
      <c r="AD86" s="92">
        <f t="shared" si="104"/>
        <v>0</v>
      </c>
      <c r="AE86" s="214"/>
      <c r="AF86" s="54"/>
      <c r="AI86" s="269"/>
      <c r="AJ86" s="260">
        <f t="shared" si="117"/>
        <v>0</v>
      </c>
      <c r="AK86" s="268"/>
      <c r="AL86" s="54"/>
    </row>
    <row r="87" spans="1:38" s="1" customFormat="1">
      <c r="A87" s="2">
        <v>6211</v>
      </c>
      <c r="B87" s="2" t="s">
        <v>31</v>
      </c>
      <c r="C87" s="46"/>
      <c r="D87" s="49">
        <f t="shared" si="105"/>
        <v>0</v>
      </c>
      <c r="E87" s="46"/>
      <c r="F87" s="49">
        <f t="shared" si="106"/>
        <v>0</v>
      </c>
      <c r="G87" s="46"/>
      <c r="H87" s="49">
        <f t="shared" si="107"/>
        <v>0</v>
      </c>
      <c r="I87" s="46"/>
      <c r="J87" s="49">
        <f t="shared" si="108"/>
        <v>0</v>
      </c>
      <c r="K87" s="46"/>
      <c r="L87" s="49">
        <f t="shared" si="109"/>
        <v>0</v>
      </c>
      <c r="M87" s="46"/>
      <c r="N87" s="49">
        <f t="shared" si="110"/>
        <v>0</v>
      </c>
      <c r="O87" s="46"/>
      <c r="P87" s="49">
        <f t="shared" si="111"/>
        <v>0</v>
      </c>
      <c r="Q87" s="46"/>
      <c r="R87" s="49">
        <f t="shared" si="112"/>
        <v>0</v>
      </c>
      <c r="S87" s="46"/>
      <c r="T87" s="49">
        <f t="shared" si="101"/>
        <v>0</v>
      </c>
      <c r="U87" s="46"/>
      <c r="V87" s="49">
        <f t="shared" si="113"/>
        <v>0</v>
      </c>
      <c r="W87" s="46"/>
      <c r="X87" s="49">
        <f t="shared" si="114"/>
        <v>0</v>
      </c>
      <c r="Y87" s="46"/>
      <c r="Z87" s="49">
        <f t="shared" si="102"/>
        <v>0</v>
      </c>
      <c r="AA87" s="105">
        <f t="shared" si="115"/>
        <v>0</v>
      </c>
      <c r="AB87" s="108">
        <f t="shared" si="103"/>
        <v>0</v>
      </c>
      <c r="AC87" s="89">
        <f t="shared" si="116"/>
        <v>0</v>
      </c>
      <c r="AD87" s="92">
        <f t="shared" si="104"/>
        <v>0</v>
      </c>
      <c r="AE87" s="214"/>
      <c r="AF87" s="54"/>
      <c r="AI87" s="269"/>
      <c r="AJ87" s="260">
        <f t="shared" si="117"/>
        <v>0</v>
      </c>
      <c r="AK87" s="268"/>
      <c r="AL87" s="54"/>
    </row>
    <row r="88" spans="1:38" s="1" customFormat="1">
      <c r="A88" s="2">
        <v>6212</v>
      </c>
      <c r="B88" s="2" t="s">
        <v>32</v>
      </c>
      <c r="C88" s="55">
        <v>25</v>
      </c>
      <c r="D88" s="49">
        <f t="shared" si="105"/>
        <v>1.2147066969209614E-4</v>
      </c>
      <c r="E88" s="55">
        <v>25</v>
      </c>
      <c r="F88" s="49">
        <f t="shared" si="106"/>
        <v>1.5613158248850142E-4</v>
      </c>
      <c r="G88" s="55">
        <v>25</v>
      </c>
      <c r="H88" s="49">
        <f t="shared" si="107"/>
        <v>9.4124482380092558E-5</v>
      </c>
      <c r="I88" s="55">
        <v>25</v>
      </c>
      <c r="J88" s="49">
        <f t="shared" si="108"/>
        <v>1.065969349900601E-4</v>
      </c>
      <c r="K88" s="55">
        <v>25</v>
      </c>
      <c r="L88" s="49">
        <f t="shared" si="109"/>
        <v>1.1655009505725371E-4</v>
      </c>
      <c r="M88" s="55">
        <v>25</v>
      </c>
      <c r="N88" s="49">
        <f t="shared" si="110"/>
        <v>8.2194099473006715E-5</v>
      </c>
      <c r="O88" s="55">
        <v>25</v>
      </c>
      <c r="P88" s="49">
        <f t="shared" si="111"/>
        <v>1.2982583093217989E-4</v>
      </c>
      <c r="Q88" s="55">
        <v>25</v>
      </c>
      <c r="R88" s="49">
        <f t="shared" si="112"/>
        <v>1.0455162224570239E-4</v>
      </c>
      <c r="S88" s="55">
        <v>25</v>
      </c>
      <c r="T88" s="49">
        <f t="shared" si="101"/>
        <v>1.0378575851134192E-4</v>
      </c>
      <c r="U88" s="55">
        <v>25</v>
      </c>
      <c r="V88" s="49">
        <f t="shared" si="113"/>
        <v>1.3084329828625088E-4</v>
      </c>
      <c r="W88" s="55">
        <v>25</v>
      </c>
      <c r="X88" s="49">
        <f t="shared" si="114"/>
        <v>1.2860031217096902E-4</v>
      </c>
      <c r="Y88" s="55">
        <v>25</v>
      </c>
      <c r="Z88" s="49">
        <f t="shared" si="102"/>
        <v>8.5128364908457037E-5</v>
      </c>
      <c r="AA88" s="105">
        <f t="shared" si="115"/>
        <v>300</v>
      </c>
      <c r="AB88" s="108">
        <f t="shared" si="103"/>
        <v>1.0963187171830347E-4</v>
      </c>
      <c r="AC88" s="89">
        <f t="shared" si="116"/>
        <v>25</v>
      </c>
      <c r="AD88" s="92">
        <f t="shared" si="104"/>
        <v>1.0963187171830347E-4</v>
      </c>
      <c r="AE88" s="214"/>
      <c r="AF88" s="54"/>
      <c r="AI88" s="269"/>
      <c r="AJ88" s="260">
        <f t="shared" si="117"/>
        <v>1527</v>
      </c>
      <c r="AK88" s="268"/>
      <c r="AL88" s="54"/>
    </row>
    <row r="89" spans="1:38" s="1" customFormat="1">
      <c r="A89" s="2">
        <v>6213</v>
      </c>
      <c r="B89" s="2" t="s">
        <v>33</v>
      </c>
      <c r="C89" s="55"/>
      <c r="D89" s="49">
        <f t="shared" si="105"/>
        <v>0</v>
      </c>
      <c r="E89" s="55"/>
      <c r="F89" s="49">
        <f t="shared" si="106"/>
        <v>0</v>
      </c>
      <c r="G89" s="55"/>
      <c r="H89" s="49">
        <f t="shared" si="107"/>
        <v>0</v>
      </c>
      <c r="I89" s="55"/>
      <c r="J89" s="49">
        <f t="shared" si="108"/>
        <v>0</v>
      </c>
      <c r="K89" s="55"/>
      <c r="L89" s="49">
        <f t="shared" si="109"/>
        <v>0</v>
      </c>
      <c r="M89" s="55"/>
      <c r="N89" s="49">
        <f t="shared" si="110"/>
        <v>0</v>
      </c>
      <c r="O89" s="55"/>
      <c r="P89" s="49">
        <f t="shared" si="111"/>
        <v>0</v>
      </c>
      <c r="Q89" s="55"/>
      <c r="R89" s="49">
        <f t="shared" si="112"/>
        <v>0</v>
      </c>
      <c r="S89" s="55"/>
      <c r="T89" s="49">
        <f t="shared" si="101"/>
        <v>0</v>
      </c>
      <c r="U89" s="55"/>
      <c r="V89" s="49">
        <f t="shared" si="113"/>
        <v>0</v>
      </c>
      <c r="W89" s="55"/>
      <c r="X89" s="49">
        <f t="shared" si="114"/>
        <v>0</v>
      </c>
      <c r="Y89" s="55"/>
      <c r="Z89" s="49">
        <f t="shared" si="102"/>
        <v>0</v>
      </c>
      <c r="AA89" s="105">
        <f t="shared" si="115"/>
        <v>0</v>
      </c>
      <c r="AB89" s="108">
        <f t="shared" si="103"/>
        <v>0</v>
      </c>
      <c r="AC89" s="89">
        <f t="shared" si="116"/>
        <v>0</v>
      </c>
      <c r="AD89" s="92">
        <f t="shared" si="104"/>
        <v>0</v>
      </c>
      <c r="AE89" s="214"/>
      <c r="AF89" s="54"/>
      <c r="AI89" s="269"/>
      <c r="AJ89" s="260">
        <f t="shared" si="117"/>
        <v>0</v>
      </c>
      <c r="AK89" s="268"/>
      <c r="AL89" s="54"/>
    </row>
    <row r="90" spans="1:38" s="1" customFormat="1">
      <c r="A90" s="128">
        <v>6214</v>
      </c>
      <c r="B90" s="128" t="s">
        <v>34</v>
      </c>
      <c r="C90" s="55">
        <v>995</v>
      </c>
      <c r="D90" s="49">
        <f t="shared" si="105"/>
        <v>4.8345326537454266E-3</v>
      </c>
      <c r="E90" s="55">
        <v>995</v>
      </c>
      <c r="F90" s="49">
        <f t="shared" si="106"/>
        <v>6.2140369830423568E-3</v>
      </c>
      <c r="G90" s="55">
        <v>995</v>
      </c>
      <c r="H90" s="49">
        <f t="shared" si="107"/>
        <v>3.7461543987276839E-3</v>
      </c>
      <c r="I90" s="55">
        <v>995</v>
      </c>
      <c r="J90" s="49">
        <f t="shared" si="108"/>
        <v>4.2425580126043919E-3</v>
      </c>
      <c r="K90" s="55">
        <v>995</v>
      </c>
      <c r="L90" s="49">
        <f t="shared" si="109"/>
        <v>4.6386937832786981E-3</v>
      </c>
      <c r="M90" s="55">
        <v>995</v>
      </c>
      <c r="N90" s="49">
        <f t="shared" si="110"/>
        <v>3.271325159025667E-3</v>
      </c>
      <c r="O90" s="55">
        <v>995</v>
      </c>
      <c r="P90" s="49">
        <f t="shared" si="111"/>
        <v>5.1670680711007593E-3</v>
      </c>
      <c r="Q90" s="55">
        <v>995</v>
      </c>
      <c r="R90" s="49">
        <f t="shared" si="112"/>
        <v>4.1611545653789548E-3</v>
      </c>
      <c r="S90" s="55">
        <v>995</v>
      </c>
      <c r="T90" s="49">
        <f t="shared" si="101"/>
        <v>4.1306731887514082E-3</v>
      </c>
      <c r="U90" s="55">
        <v>995</v>
      </c>
      <c r="V90" s="49">
        <f t="shared" si="113"/>
        <v>5.2075632717927846E-3</v>
      </c>
      <c r="W90" s="55">
        <v>995</v>
      </c>
      <c r="X90" s="49">
        <f t="shared" si="114"/>
        <v>5.118292424404567E-3</v>
      </c>
      <c r="Y90" s="55">
        <v>995</v>
      </c>
      <c r="Z90" s="49">
        <f t="shared" si="102"/>
        <v>3.3881089233565899E-3</v>
      </c>
      <c r="AA90" s="105">
        <f t="shared" si="115"/>
        <v>11940</v>
      </c>
      <c r="AB90" s="108">
        <f t="shared" si="103"/>
        <v>4.3633484943884776E-3</v>
      </c>
      <c r="AC90" s="89">
        <f t="shared" si="116"/>
        <v>995</v>
      </c>
      <c r="AD90" s="92">
        <f t="shared" si="104"/>
        <v>4.3633484943884776E-3</v>
      </c>
      <c r="AE90" s="214"/>
      <c r="AF90" s="54" t="s">
        <v>151</v>
      </c>
      <c r="AI90" s="269"/>
      <c r="AJ90" s="260">
        <f t="shared" si="117"/>
        <v>60774.600000000013</v>
      </c>
      <c r="AK90" s="268"/>
      <c r="AL90" s="54"/>
    </row>
    <row r="91" spans="1:38" s="1" customFormat="1">
      <c r="A91" s="2">
        <v>6215</v>
      </c>
      <c r="B91" s="128" t="s">
        <v>197</v>
      </c>
      <c r="C91" s="46">
        <v>1368.125</v>
      </c>
      <c r="D91" s="49">
        <f t="shared" si="105"/>
        <v>6.6474823988999614E-3</v>
      </c>
      <c r="E91" s="46">
        <v>1368.125</v>
      </c>
      <c r="F91" s="49">
        <f t="shared" si="106"/>
        <v>8.5443008516832408E-3</v>
      </c>
      <c r="G91" s="46">
        <v>1368.125</v>
      </c>
      <c r="H91" s="49">
        <f t="shared" si="107"/>
        <v>5.1509622982505651E-3</v>
      </c>
      <c r="I91" s="46">
        <v>1368.125</v>
      </c>
      <c r="J91" s="49">
        <f t="shared" si="108"/>
        <v>5.8335172673310391E-3</v>
      </c>
      <c r="K91" s="46">
        <v>1368.125</v>
      </c>
      <c r="L91" s="49">
        <f t="shared" si="109"/>
        <v>6.3782039520082091E-3</v>
      </c>
      <c r="M91" s="46">
        <v>1368.125</v>
      </c>
      <c r="N91" s="49">
        <f t="shared" si="110"/>
        <v>4.4980720936602919E-3</v>
      </c>
      <c r="O91" s="46">
        <v>1368.125</v>
      </c>
      <c r="P91" s="49">
        <f t="shared" si="111"/>
        <v>7.1047185977635438E-3</v>
      </c>
      <c r="Q91" s="46">
        <v>1368.125</v>
      </c>
      <c r="R91" s="49">
        <f t="shared" si="112"/>
        <v>5.7215875273960628E-3</v>
      </c>
      <c r="S91" s="46">
        <v>1368.125</v>
      </c>
      <c r="T91" s="49">
        <f t="shared" si="101"/>
        <v>5.6796756345331868E-3</v>
      </c>
      <c r="U91" s="46">
        <v>1368.125</v>
      </c>
      <c r="V91" s="49">
        <f t="shared" si="113"/>
        <v>7.1603994987150792E-3</v>
      </c>
      <c r="W91" s="46">
        <v>1368.125</v>
      </c>
      <c r="X91" s="49">
        <f t="shared" si="114"/>
        <v>7.0376520835562792E-3</v>
      </c>
      <c r="Y91" s="46">
        <v>1368.125</v>
      </c>
      <c r="Z91" s="49">
        <f t="shared" si="102"/>
        <v>4.6586497696153115E-3</v>
      </c>
      <c r="AA91" s="105">
        <f t="shared" si="115"/>
        <v>16417.5</v>
      </c>
      <c r="AB91" s="108">
        <f t="shared" si="103"/>
        <v>5.9996041797841567E-3</v>
      </c>
      <c r="AC91" s="89">
        <f t="shared" si="116"/>
        <v>1368.125</v>
      </c>
      <c r="AD91" s="92">
        <f t="shared" si="104"/>
        <v>5.9996041797841567E-3</v>
      </c>
      <c r="AE91" s="214"/>
      <c r="AF91" s="54"/>
      <c r="AI91" s="269"/>
      <c r="AJ91" s="260">
        <f t="shared" si="117"/>
        <v>83565.075000000012</v>
      </c>
      <c r="AK91" s="268"/>
      <c r="AL91" s="54"/>
    </row>
    <row r="92" spans="1:38" s="1" customFormat="1">
      <c r="A92" s="2">
        <v>6216</v>
      </c>
      <c r="B92" s="128" t="s">
        <v>91</v>
      </c>
      <c r="C92" s="46"/>
      <c r="D92" s="49">
        <f t="shared" si="105"/>
        <v>0</v>
      </c>
      <c r="E92" s="46"/>
      <c r="F92" s="49">
        <f t="shared" si="106"/>
        <v>0</v>
      </c>
      <c r="G92" s="46"/>
      <c r="H92" s="49">
        <f t="shared" si="107"/>
        <v>0</v>
      </c>
      <c r="I92" s="46"/>
      <c r="J92" s="49">
        <f t="shared" si="108"/>
        <v>0</v>
      </c>
      <c r="K92" s="46"/>
      <c r="L92" s="49">
        <f t="shared" si="109"/>
        <v>0</v>
      </c>
      <c r="M92" s="46"/>
      <c r="N92" s="49">
        <f t="shared" si="110"/>
        <v>0</v>
      </c>
      <c r="O92" s="46"/>
      <c r="P92" s="49">
        <f t="shared" si="111"/>
        <v>0</v>
      </c>
      <c r="Q92" s="46"/>
      <c r="R92" s="49">
        <f t="shared" si="112"/>
        <v>0</v>
      </c>
      <c r="S92" s="46"/>
      <c r="T92" s="49">
        <f t="shared" si="101"/>
        <v>0</v>
      </c>
      <c r="U92" s="46"/>
      <c r="V92" s="49">
        <f t="shared" si="113"/>
        <v>0</v>
      </c>
      <c r="W92" s="46"/>
      <c r="X92" s="49">
        <f t="shared" si="114"/>
        <v>0</v>
      </c>
      <c r="Y92" s="46"/>
      <c r="Z92" s="49">
        <f t="shared" si="102"/>
        <v>0</v>
      </c>
      <c r="AA92" s="105">
        <f t="shared" si="115"/>
        <v>0</v>
      </c>
      <c r="AB92" s="108">
        <f t="shared" si="103"/>
        <v>0</v>
      </c>
      <c r="AC92" s="89">
        <f t="shared" si="116"/>
        <v>0</v>
      </c>
      <c r="AD92" s="92">
        <f t="shared" si="104"/>
        <v>0</v>
      </c>
      <c r="AE92" s="214"/>
      <c r="AF92" s="54"/>
      <c r="AI92" s="269"/>
      <c r="AJ92" s="260">
        <f t="shared" si="117"/>
        <v>0</v>
      </c>
      <c r="AK92" s="268"/>
      <c r="AL92" s="54"/>
    </row>
    <row r="93" spans="1:38" s="1" customFormat="1" ht="15.75" thickBot="1">
      <c r="A93" s="4">
        <v>6299</v>
      </c>
      <c r="B93" s="4" t="s">
        <v>114</v>
      </c>
      <c r="C93" s="23">
        <f>SUM(C77:C92)</f>
        <v>13107.069444444445</v>
      </c>
      <c r="D93" s="69">
        <f>C93/C12</f>
        <v>6.36849801246991E-2</v>
      </c>
      <c r="E93" s="23">
        <f>SUM(E77:E92)</f>
        <v>13107.069444444445</v>
      </c>
      <c r="F93" s="69">
        <f>E93/E12</f>
        <v>8.1857099765911781E-2</v>
      </c>
      <c r="G93" s="23">
        <f>SUM(G77:G92)</f>
        <v>13107.069444444445</v>
      </c>
      <c r="H93" s="69">
        <f>G93/G12</f>
        <v>4.9347845079130426E-2</v>
      </c>
      <c r="I93" s="23">
        <f>SUM(I77:I92)</f>
        <v>13107.069444444445</v>
      </c>
      <c r="J93" s="69">
        <f>I93/I12</f>
        <v>5.5886937179185907E-2</v>
      </c>
      <c r="K93" s="23">
        <f>SUM(K77:K92)</f>
        <v>13107.069444444445</v>
      </c>
      <c r="L93" s="69">
        <f>K93/K12</f>
        <v>6.1105207586881025E-2</v>
      </c>
      <c r="M93" s="23">
        <f>SUM(M77:M92)</f>
        <v>13107.069444444445</v>
      </c>
      <c r="N93" s="69">
        <f>M93/M12</f>
        <v>4.3092950788650941E-2</v>
      </c>
      <c r="O93" s="23">
        <f>SUM(O77:O92)</f>
        <v>13107.069444444445</v>
      </c>
      <c r="P93" s="69">
        <f>O93/O12</f>
        <v>6.8065447268431417E-2</v>
      </c>
      <c r="Q93" s="59">
        <f>SUM(Q77:Q92)</f>
        <v>13107.069444444445</v>
      </c>
      <c r="R93" s="69">
        <f>Q93/Q12</f>
        <v>5.4814614932149758E-2</v>
      </c>
      <c r="S93" s="43">
        <f>SUM(S77:S92)</f>
        <v>13107.069444444445</v>
      </c>
      <c r="T93" s="69">
        <f t="shared" si="101"/>
        <v>5.4413085766099989E-2</v>
      </c>
      <c r="U93" s="59">
        <f>SUM(U77:U92)</f>
        <v>13107.069444444445</v>
      </c>
      <c r="V93" s="69">
        <f>U93/U12</f>
        <v>6.8598887879121967E-2</v>
      </c>
      <c r="W93" s="43">
        <f>SUM(W77:W92)</f>
        <v>13107.069444444445</v>
      </c>
      <c r="X93" s="69">
        <f>W93/W12</f>
        <v>6.7422928888085001E-2</v>
      </c>
      <c r="Y93" s="43">
        <f>SUM(Y77:Y92)</f>
        <v>13107.069444444445</v>
      </c>
      <c r="Z93" s="69">
        <f t="shared" si="102"/>
        <v>4.4631335621886155E-2</v>
      </c>
      <c r="AA93" s="109">
        <f>SUM(AA77:AA92)</f>
        <v>157284.83333333331</v>
      </c>
      <c r="AB93" s="110">
        <f t="shared" si="103"/>
        <v>5.7478102237449126E-2</v>
      </c>
      <c r="AC93" s="93">
        <f>SUM(AC77:AC92)</f>
        <v>13107.069444444445</v>
      </c>
      <c r="AD93" s="94">
        <f t="shared" si="104"/>
        <v>5.747810223744914E-2</v>
      </c>
      <c r="AE93" s="218"/>
      <c r="AF93" s="220">
        <v>5.5E-2</v>
      </c>
      <c r="AG93" s="209" t="s">
        <v>158</v>
      </c>
      <c r="AI93" s="269"/>
      <c r="AJ93" s="260">
        <f t="shared" si="117"/>
        <v>800579.80166666675</v>
      </c>
      <c r="AK93" s="268"/>
      <c r="AL93" s="54"/>
    </row>
    <row r="94" spans="1:38" s="1" customFormat="1" ht="15.75" thickTop="1">
      <c r="A94" s="2">
        <v>6301</v>
      </c>
      <c r="B94" s="2" t="s">
        <v>36</v>
      </c>
      <c r="C94" s="280"/>
      <c r="D94" s="49">
        <f t="shared" ref="D94:D114" si="118">C94/C$12</f>
        <v>0</v>
      </c>
      <c r="E94" s="280"/>
      <c r="F94" s="49">
        <f t="shared" ref="F94:F114" si="119">E94/E$12</f>
        <v>0</v>
      </c>
      <c r="G94" s="280"/>
      <c r="H94" s="49">
        <f t="shared" ref="H94:H114" si="120">G94/G$12</f>
        <v>0</v>
      </c>
      <c r="I94" s="280"/>
      <c r="J94" s="49">
        <f t="shared" ref="J94:J114" si="121">I94/I$12</f>
        <v>0</v>
      </c>
      <c r="K94" s="280"/>
      <c r="L94" s="49">
        <f t="shared" ref="L94:L114" si="122">K94/K$12</f>
        <v>0</v>
      </c>
      <c r="M94" s="280"/>
      <c r="N94" s="49">
        <f t="shared" ref="N94:N114" si="123">M94/M$12</f>
        <v>0</v>
      </c>
      <c r="O94" s="280"/>
      <c r="P94" s="49">
        <f t="shared" ref="P94:P114" si="124">O94/O$12</f>
        <v>0</v>
      </c>
      <c r="Q94" s="280"/>
      <c r="R94" s="49">
        <f t="shared" ref="R94:R114" si="125">Q94/Q$12</f>
        <v>0</v>
      </c>
      <c r="S94" s="280"/>
      <c r="T94" s="49">
        <f t="shared" si="101"/>
        <v>0</v>
      </c>
      <c r="U94" s="280"/>
      <c r="V94" s="49">
        <f t="shared" ref="V94:V114" si="126">U94/U$12</f>
        <v>0</v>
      </c>
      <c r="W94" s="280"/>
      <c r="X94" s="49">
        <f t="shared" ref="X94:X114" si="127">W94/W$12</f>
        <v>0</v>
      </c>
      <c r="Y94" s="280"/>
      <c r="Z94" s="49">
        <f t="shared" si="102"/>
        <v>0</v>
      </c>
      <c r="AA94" s="582">
        <f t="shared" ref="AA94:AA114" si="128">C94+E94+G94+I94+K94+M94+O94+Q94+S94+U94+W94+Y94</f>
        <v>0</v>
      </c>
      <c r="AB94" s="232">
        <f>AA94/AA$12</f>
        <v>0</v>
      </c>
      <c r="AC94" s="124">
        <f t="shared" ref="AC94:AC114" si="129">AA94/12</f>
        <v>0</v>
      </c>
      <c r="AD94" s="49">
        <f>AC94/AC$12</f>
        <v>0</v>
      </c>
      <c r="AE94" s="214"/>
      <c r="AF94" s="54"/>
      <c r="AI94" s="269"/>
      <c r="AJ94" s="260">
        <f t="shared" si="117"/>
        <v>0</v>
      </c>
      <c r="AK94" s="268"/>
      <c r="AL94" s="54"/>
    </row>
    <row r="95" spans="1:38" s="1" customFormat="1">
      <c r="A95" s="2">
        <v>6302</v>
      </c>
      <c r="B95" s="2" t="s">
        <v>37</v>
      </c>
      <c r="C95" s="280"/>
      <c r="D95" s="49">
        <f t="shared" si="118"/>
        <v>0</v>
      </c>
      <c r="E95" s="280"/>
      <c r="F95" s="49">
        <f t="shared" si="119"/>
        <v>0</v>
      </c>
      <c r="G95" s="280"/>
      <c r="H95" s="49">
        <f t="shared" si="120"/>
        <v>0</v>
      </c>
      <c r="I95" s="280"/>
      <c r="J95" s="49">
        <f t="shared" si="121"/>
        <v>0</v>
      </c>
      <c r="K95" s="280"/>
      <c r="L95" s="49">
        <f t="shared" si="122"/>
        <v>0</v>
      </c>
      <c r="M95" s="280"/>
      <c r="N95" s="49">
        <f t="shared" si="123"/>
        <v>0</v>
      </c>
      <c r="O95" s="280"/>
      <c r="P95" s="49">
        <f t="shared" si="124"/>
        <v>0</v>
      </c>
      <c r="Q95" s="280"/>
      <c r="R95" s="49">
        <f t="shared" si="125"/>
        <v>0</v>
      </c>
      <c r="S95" s="280"/>
      <c r="T95" s="49">
        <f t="shared" si="101"/>
        <v>0</v>
      </c>
      <c r="U95" s="280"/>
      <c r="V95" s="49">
        <f t="shared" si="126"/>
        <v>0</v>
      </c>
      <c r="W95" s="280"/>
      <c r="X95" s="49">
        <f t="shared" si="127"/>
        <v>0</v>
      </c>
      <c r="Y95" s="280"/>
      <c r="Z95" s="49">
        <f t="shared" si="102"/>
        <v>0</v>
      </c>
      <c r="AA95" s="320">
        <f t="shared" si="128"/>
        <v>0</v>
      </c>
      <c r="AB95" s="49">
        <f t="shared" ref="AB95:AB99" si="130">AA95/AA$12</f>
        <v>0</v>
      </c>
      <c r="AC95" s="124">
        <f t="shared" si="129"/>
        <v>0</v>
      </c>
      <c r="AD95" s="49">
        <f t="shared" ref="AD95:AD99" si="131">AC95/AC$12</f>
        <v>0</v>
      </c>
      <c r="AE95" s="214"/>
      <c r="AF95" s="54">
        <v>115</v>
      </c>
      <c r="AG95" s="1" t="s">
        <v>164</v>
      </c>
      <c r="AI95" s="269"/>
      <c r="AJ95" s="260">
        <f t="shared" si="117"/>
        <v>0</v>
      </c>
      <c r="AK95" s="268"/>
      <c r="AL95" s="54"/>
    </row>
    <row r="96" spans="1:38" s="1" customFormat="1">
      <c r="A96" s="2">
        <v>6303</v>
      </c>
      <c r="B96" s="2" t="s">
        <v>123</v>
      </c>
      <c r="C96" s="280"/>
      <c r="D96" s="49">
        <f t="shared" si="118"/>
        <v>0</v>
      </c>
      <c r="E96" s="280"/>
      <c r="F96" s="49">
        <f t="shared" si="119"/>
        <v>0</v>
      </c>
      <c r="G96" s="280"/>
      <c r="H96" s="49">
        <f t="shared" si="120"/>
        <v>0</v>
      </c>
      <c r="I96" s="280"/>
      <c r="J96" s="49">
        <f t="shared" si="121"/>
        <v>0</v>
      </c>
      <c r="K96" s="280"/>
      <c r="L96" s="49">
        <f t="shared" si="122"/>
        <v>0</v>
      </c>
      <c r="M96" s="280"/>
      <c r="N96" s="49">
        <f t="shared" si="123"/>
        <v>0</v>
      </c>
      <c r="O96" s="280"/>
      <c r="P96" s="49">
        <f t="shared" si="124"/>
        <v>0</v>
      </c>
      <c r="Q96" s="280"/>
      <c r="R96" s="49">
        <f t="shared" si="125"/>
        <v>0</v>
      </c>
      <c r="S96" s="280"/>
      <c r="T96" s="49">
        <f t="shared" si="101"/>
        <v>0</v>
      </c>
      <c r="U96" s="280"/>
      <c r="V96" s="49">
        <f t="shared" si="126"/>
        <v>0</v>
      </c>
      <c r="W96" s="280"/>
      <c r="X96" s="49">
        <f t="shared" si="127"/>
        <v>0</v>
      </c>
      <c r="Y96" s="280"/>
      <c r="Z96" s="49">
        <f t="shared" si="102"/>
        <v>0</v>
      </c>
      <c r="AA96" s="320">
        <f t="shared" si="128"/>
        <v>0</v>
      </c>
      <c r="AB96" s="49">
        <f t="shared" si="130"/>
        <v>0</v>
      </c>
      <c r="AC96" s="124">
        <f t="shared" si="129"/>
        <v>0</v>
      </c>
      <c r="AD96" s="49">
        <f t="shared" si="131"/>
        <v>0</v>
      </c>
      <c r="AE96" s="214"/>
      <c r="AF96" s="54"/>
      <c r="AI96" s="269"/>
      <c r="AJ96" s="260">
        <f t="shared" si="117"/>
        <v>0</v>
      </c>
      <c r="AK96" s="268"/>
      <c r="AL96" s="54"/>
    </row>
    <row r="97" spans="1:38" s="1" customFormat="1">
      <c r="A97" s="2">
        <v>6304</v>
      </c>
      <c r="B97" s="2" t="s">
        <v>38</v>
      </c>
      <c r="C97" s="348"/>
      <c r="D97" s="49">
        <f t="shared" si="118"/>
        <v>0</v>
      </c>
      <c r="E97" s="348"/>
      <c r="F97" s="49">
        <f t="shared" si="119"/>
        <v>0</v>
      </c>
      <c r="G97" s="348"/>
      <c r="H97" s="49">
        <f t="shared" si="120"/>
        <v>0</v>
      </c>
      <c r="I97" s="348"/>
      <c r="J97" s="49">
        <f t="shared" si="121"/>
        <v>0</v>
      </c>
      <c r="K97" s="348"/>
      <c r="L97" s="49">
        <f t="shared" si="122"/>
        <v>0</v>
      </c>
      <c r="M97" s="348"/>
      <c r="N97" s="49">
        <f t="shared" si="123"/>
        <v>0</v>
      </c>
      <c r="O97" s="348"/>
      <c r="P97" s="49">
        <f t="shared" si="124"/>
        <v>0</v>
      </c>
      <c r="Q97" s="348"/>
      <c r="R97" s="49">
        <f t="shared" si="125"/>
        <v>0</v>
      </c>
      <c r="S97" s="348"/>
      <c r="T97" s="49">
        <f t="shared" si="101"/>
        <v>0</v>
      </c>
      <c r="U97" s="348"/>
      <c r="V97" s="49">
        <f t="shared" si="126"/>
        <v>0</v>
      </c>
      <c r="W97" s="348"/>
      <c r="X97" s="49">
        <f t="shared" si="127"/>
        <v>0</v>
      </c>
      <c r="Y97" s="348"/>
      <c r="Z97" s="49">
        <f t="shared" si="102"/>
        <v>0</v>
      </c>
      <c r="AA97" s="320">
        <f t="shared" si="128"/>
        <v>0</v>
      </c>
      <c r="AB97" s="49">
        <f t="shared" si="130"/>
        <v>0</v>
      </c>
      <c r="AC97" s="124">
        <f t="shared" si="129"/>
        <v>0</v>
      </c>
      <c r="AD97" s="49">
        <f t="shared" si="131"/>
        <v>0</v>
      </c>
      <c r="AE97" s="214"/>
      <c r="AF97" s="54">
        <v>1312</v>
      </c>
      <c r="AG97" s="1" t="s">
        <v>165</v>
      </c>
      <c r="AI97" s="269"/>
      <c r="AJ97" s="260">
        <f t="shared" si="117"/>
        <v>0</v>
      </c>
      <c r="AK97" s="268"/>
      <c r="AL97" s="54"/>
    </row>
    <row r="98" spans="1:38" s="1" customFormat="1">
      <c r="A98" s="2">
        <v>6305</v>
      </c>
      <c r="B98" s="2" t="s">
        <v>39</v>
      </c>
      <c r="C98" s="280"/>
      <c r="D98" s="49">
        <f t="shared" si="118"/>
        <v>0</v>
      </c>
      <c r="E98" s="280"/>
      <c r="F98" s="49">
        <f t="shared" si="119"/>
        <v>0</v>
      </c>
      <c r="G98" s="280"/>
      <c r="H98" s="49">
        <f t="shared" si="120"/>
        <v>0</v>
      </c>
      <c r="I98" s="280"/>
      <c r="J98" s="49">
        <f t="shared" si="121"/>
        <v>0</v>
      </c>
      <c r="K98" s="280"/>
      <c r="L98" s="49">
        <f t="shared" si="122"/>
        <v>0</v>
      </c>
      <c r="M98" s="280"/>
      <c r="N98" s="49">
        <f t="shared" si="123"/>
        <v>0</v>
      </c>
      <c r="O98" s="280"/>
      <c r="P98" s="49">
        <f t="shared" si="124"/>
        <v>0</v>
      </c>
      <c r="Q98" s="280"/>
      <c r="R98" s="49">
        <f t="shared" si="125"/>
        <v>0</v>
      </c>
      <c r="S98" s="280"/>
      <c r="T98" s="49">
        <f t="shared" si="101"/>
        <v>0</v>
      </c>
      <c r="U98" s="280"/>
      <c r="V98" s="49">
        <f t="shared" si="126"/>
        <v>0</v>
      </c>
      <c r="W98" s="280"/>
      <c r="X98" s="49">
        <f t="shared" si="127"/>
        <v>0</v>
      </c>
      <c r="Y98" s="280"/>
      <c r="Z98" s="49">
        <f t="shared" si="102"/>
        <v>0</v>
      </c>
      <c r="AA98" s="320">
        <f t="shared" si="128"/>
        <v>0</v>
      </c>
      <c r="AB98" s="49">
        <f t="shared" si="130"/>
        <v>0</v>
      </c>
      <c r="AC98" s="124">
        <f t="shared" si="129"/>
        <v>0</v>
      </c>
      <c r="AD98" s="49">
        <f t="shared" si="131"/>
        <v>0</v>
      </c>
      <c r="AE98" s="214"/>
      <c r="AF98" s="54">
        <v>800</v>
      </c>
      <c r="AG98" s="1" t="s">
        <v>166</v>
      </c>
      <c r="AI98" s="269"/>
      <c r="AJ98" s="260">
        <f t="shared" si="117"/>
        <v>0</v>
      </c>
      <c r="AK98" s="268"/>
      <c r="AL98" s="54"/>
    </row>
    <row r="99" spans="1:38" s="1" customFormat="1">
      <c r="A99" s="2">
        <v>6306</v>
      </c>
      <c r="B99" s="2" t="s">
        <v>40</v>
      </c>
      <c r="C99" s="280"/>
      <c r="D99" s="49">
        <f t="shared" si="118"/>
        <v>0</v>
      </c>
      <c r="E99" s="280"/>
      <c r="F99" s="49">
        <f t="shared" si="119"/>
        <v>0</v>
      </c>
      <c r="G99" s="280"/>
      <c r="H99" s="49">
        <f t="shared" si="120"/>
        <v>0</v>
      </c>
      <c r="I99" s="280"/>
      <c r="J99" s="49">
        <f t="shared" si="121"/>
        <v>0</v>
      </c>
      <c r="K99" s="280"/>
      <c r="L99" s="49">
        <f t="shared" si="122"/>
        <v>0</v>
      </c>
      <c r="M99" s="280"/>
      <c r="N99" s="49">
        <f t="shared" si="123"/>
        <v>0</v>
      </c>
      <c r="O99" s="280"/>
      <c r="P99" s="49">
        <f t="shared" si="124"/>
        <v>0</v>
      </c>
      <c r="Q99" s="280"/>
      <c r="R99" s="49">
        <f t="shared" si="125"/>
        <v>0</v>
      </c>
      <c r="S99" s="280"/>
      <c r="T99" s="49">
        <f t="shared" si="101"/>
        <v>0</v>
      </c>
      <c r="U99" s="280"/>
      <c r="V99" s="49">
        <f t="shared" si="126"/>
        <v>0</v>
      </c>
      <c r="W99" s="280"/>
      <c r="X99" s="49">
        <f t="shared" si="127"/>
        <v>0</v>
      </c>
      <c r="Y99" s="280"/>
      <c r="Z99" s="49">
        <f t="shared" si="102"/>
        <v>0</v>
      </c>
      <c r="AA99" s="320">
        <f t="shared" si="128"/>
        <v>0</v>
      </c>
      <c r="AB99" s="49">
        <f t="shared" si="130"/>
        <v>0</v>
      </c>
      <c r="AC99" s="124">
        <f t="shared" si="129"/>
        <v>0</v>
      </c>
      <c r="AD99" s="49">
        <f t="shared" si="131"/>
        <v>0</v>
      </c>
      <c r="AE99" s="214"/>
      <c r="AF99" s="54"/>
      <c r="AG99" s="1" t="s">
        <v>167</v>
      </c>
      <c r="AI99" s="269"/>
      <c r="AJ99" s="260">
        <f t="shared" si="117"/>
        <v>0</v>
      </c>
      <c r="AK99" s="268"/>
      <c r="AL99" s="54"/>
    </row>
    <row r="100" spans="1:38" s="289" customFormat="1">
      <c r="A100" s="2">
        <v>6307</v>
      </c>
      <c r="B100" s="2" t="s">
        <v>240</v>
      </c>
      <c r="C100" s="280"/>
      <c r="D100" s="49">
        <f t="shared" si="118"/>
        <v>0</v>
      </c>
      <c r="E100" s="280">
        <v>83.49</v>
      </c>
      <c r="F100" s="49">
        <f t="shared" si="119"/>
        <v>5.214170328785993E-4</v>
      </c>
      <c r="G100" s="280">
        <v>83.49</v>
      </c>
      <c r="H100" s="49">
        <f t="shared" si="120"/>
        <v>3.1433812135655707E-4</v>
      </c>
      <c r="I100" s="280">
        <v>419.38</v>
      </c>
      <c r="J100" s="49">
        <f t="shared" si="121"/>
        <v>1.7881849038452562E-3</v>
      </c>
      <c r="K100" s="280">
        <v>83.49</v>
      </c>
      <c r="L100" s="49">
        <f t="shared" si="122"/>
        <v>3.8923069745320447E-4</v>
      </c>
      <c r="M100" s="280"/>
      <c r="N100" s="49">
        <f t="shared" si="123"/>
        <v>0</v>
      </c>
      <c r="O100" s="280">
        <v>83.49</v>
      </c>
      <c r="P100" s="49">
        <f t="shared" si="124"/>
        <v>4.3356634498110789E-4</v>
      </c>
      <c r="Q100" s="280">
        <v>83.49</v>
      </c>
      <c r="R100" s="49">
        <f t="shared" si="125"/>
        <v>3.491605976517477E-4</v>
      </c>
      <c r="S100" s="280">
        <v>83.49</v>
      </c>
      <c r="T100" s="49">
        <f t="shared" si="101"/>
        <v>3.4660291912447748E-4</v>
      </c>
      <c r="U100" s="280">
        <v>83.49</v>
      </c>
      <c r="V100" s="49">
        <f t="shared" si="126"/>
        <v>4.3696427895676337E-4</v>
      </c>
      <c r="W100" s="280">
        <v>83.49</v>
      </c>
      <c r="X100" s="49">
        <f t="shared" si="127"/>
        <v>4.294736025261681E-4</v>
      </c>
      <c r="Y100" s="280">
        <v>83.49</v>
      </c>
      <c r="Z100" s="49">
        <f t="shared" si="102"/>
        <v>2.8429468744828307E-4</v>
      </c>
      <c r="AA100" s="320">
        <f t="shared" si="128"/>
        <v>1170.79</v>
      </c>
      <c r="AB100" s="49">
        <f>AA100/AA$12</f>
        <v>4.27852996963575E-4</v>
      </c>
      <c r="AC100" s="124">
        <f t="shared" si="129"/>
        <v>97.56583333333333</v>
      </c>
      <c r="AD100" s="49">
        <f>AC100/AC$12</f>
        <v>4.27852996963575E-4</v>
      </c>
      <c r="AE100" s="214"/>
      <c r="AF100" s="54"/>
      <c r="AI100" s="269"/>
      <c r="AJ100" s="260"/>
      <c r="AK100" s="268"/>
      <c r="AL100" s="54"/>
    </row>
    <row r="101" spans="1:38" s="1" customFormat="1">
      <c r="A101" s="2">
        <v>6308</v>
      </c>
      <c r="B101" s="2" t="s">
        <v>142</v>
      </c>
      <c r="C101" s="280"/>
      <c r="D101" s="49">
        <f t="shared" si="118"/>
        <v>0</v>
      </c>
      <c r="E101" s="280"/>
      <c r="F101" s="49">
        <f t="shared" si="119"/>
        <v>0</v>
      </c>
      <c r="G101" s="280"/>
      <c r="H101" s="49">
        <f t="shared" si="120"/>
        <v>0</v>
      </c>
      <c r="I101" s="280"/>
      <c r="J101" s="49">
        <f t="shared" si="121"/>
        <v>0</v>
      </c>
      <c r="K101" s="280"/>
      <c r="L101" s="49">
        <f t="shared" si="122"/>
        <v>0</v>
      </c>
      <c r="M101" s="280"/>
      <c r="N101" s="49">
        <f t="shared" si="123"/>
        <v>0</v>
      </c>
      <c r="O101" s="280"/>
      <c r="P101" s="49">
        <f t="shared" si="124"/>
        <v>0</v>
      </c>
      <c r="Q101" s="280"/>
      <c r="R101" s="49">
        <f t="shared" si="125"/>
        <v>0</v>
      </c>
      <c r="S101" s="280"/>
      <c r="T101" s="49">
        <f t="shared" si="101"/>
        <v>0</v>
      </c>
      <c r="U101" s="280"/>
      <c r="V101" s="49">
        <f t="shared" si="126"/>
        <v>0</v>
      </c>
      <c r="W101" s="280"/>
      <c r="X101" s="49">
        <f t="shared" si="127"/>
        <v>0</v>
      </c>
      <c r="Y101" s="280"/>
      <c r="Z101" s="49">
        <f t="shared" si="102"/>
        <v>0</v>
      </c>
      <c r="AA101" s="320">
        <f t="shared" si="128"/>
        <v>0</v>
      </c>
      <c r="AB101" s="49">
        <f>AA101/AA$12</f>
        <v>0</v>
      </c>
      <c r="AC101" s="124">
        <f t="shared" si="129"/>
        <v>0</v>
      </c>
      <c r="AD101" s="49">
        <f>AC101/AC$12</f>
        <v>0</v>
      </c>
      <c r="AE101" s="214"/>
      <c r="AF101" s="54">
        <v>200</v>
      </c>
      <c r="AG101" s="1" t="s">
        <v>168</v>
      </c>
      <c r="AI101" s="269"/>
      <c r="AJ101" s="260">
        <f t="shared" si="117"/>
        <v>0</v>
      </c>
      <c r="AK101" s="268"/>
      <c r="AL101" s="54"/>
    </row>
    <row r="102" spans="1:38" s="1" customFormat="1">
      <c r="A102" s="2">
        <v>6309</v>
      </c>
      <c r="B102" s="2" t="s">
        <v>143</v>
      </c>
      <c r="C102" s="280">
        <v>440.53713188100005</v>
      </c>
      <c r="D102" s="49">
        <f t="shared" si="118"/>
        <v>2.1404936173528141E-3</v>
      </c>
      <c r="E102" s="280">
        <v>444.94250319981001</v>
      </c>
      <c r="F102" s="49">
        <f t="shared" si="119"/>
        <v>2.7787830856392578E-3</v>
      </c>
      <c r="G102" s="280">
        <v>224.69596411590408</v>
      </c>
      <c r="H102" s="49">
        <f t="shared" si="120"/>
        <v>8.4597565261221286E-4</v>
      </c>
      <c r="I102" s="280">
        <v>236.00317425281375</v>
      </c>
      <c r="J102" s="49">
        <f t="shared" si="121"/>
        <v>1.0062886009310004E-3</v>
      </c>
      <c r="K102" s="280">
        <v>491.60484917426766</v>
      </c>
      <c r="L102" s="49">
        <f t="shared" si="122"/>
        <v>2.2918636760747109E-3</v>
      </c>
      <c r="M102" s="280">
        <v>251.55556495608963</v>
      </c>
      <c r="N102" s="49">
        <f t="shared" si="123"/>
        <v>8.2705532515956923E-4</v>
      </c>
      <c r="O102" s="280">
        <v>269.70085023741558</v>
      </c>
      <c r="P102" s="49">
        <f t="shared" si="124"/>
        <v>1.4005654794075153E-3</v>
      </c>
      <c r="Q102" s="280">
        <v>280.86373418859881</v>
      </c>
      <c r="R102" s="49">
        <f t="shared" si="125"/>
        <v>1.17459036157615E-3</v>
      </c>
      <c r="S102" s="280">
        <v>588.24367243065478</v>
      </c>
      <c r="T102" s="49">
        <f t="shared" si="101"/>
        <v>2.4420526293085143E-3</v>
      </c>
      <c r="U102" s="280">
        <v>607.99147605004634</v>
      </c>
      <c r="V102" s="49">
        <f t="shared" si="126"/>
        <v>3.1820644022525668E-3</v>
      </c>
      <c r="W102" s="280">
        <v>319.29349250004702</v>
      </c>
      <c r="X102" s="49">
        <f t="shared" si="127"/>
        <v>1.6424497123866E-3</v>
      </c>
      <c r="Y102" s="280">
        <v>335.36106464915571</v>
      </c>
      <c r="Z102" s="49">
        <f t="shared" si="102"/>
        <v>1.1419495635016791E-3</v>
      </c>
      <c r="AA102" s="320">
        <f t="shared" si="128"/>
        <v>4490.7934776358043</v>
      </c>
      <c r="AB102" s="49">
        <f>AA102/AA$12</f>
        <v>1.6411136481785413E-3</v>
      </c>
      <c r="AC102" s="124">
        <f t="shared" si="129"/>
        <v>374.23278980298369</v>
      </c>
      <c r="AD102" s="49">
        <f>AC102/AC$12</f>
        <v>1.6411136481785413E-3</v>
      </c>
      <c r="AE102" s="214"/>
      <c r="AF102" s="54">
        <v>840</v>
      </c>
      <c r="AG102" s="1" t="s">
        <v>169</v>
      </c>
      <c r="AI102" s="269"/>
      <c r="AJ102" s="260">
        <f t="shared" si="117"/>
        <v>22858.138801166238</v>
      </c>
      <c r="AK102" s="268"/>
      <c r="AL102" s="54"/>
    </row>
    <row r="103" spans="1:38" s="1" customFormat="1">
      <c r="A103" s="2">
        <v>6310</v>
      </c>
      <c r="B103" s="2" t="s">
        <v>144</v>
      </c>
      <c r="C103" s="280"/>
      <c r="D103" s="49">
        <f t="shared" si="118"/>
        <v>0</v>
      </c>
      <c r="E103" s="280"/>
      <c r="F103" s="49">
        <f t="shared" si="119"/>
        <v>0</v>
      </c>
      <c r="G103" s="280"/>
      <c r="H103" s="49">
        <f t="shared" si="120"/>
        <v>0</v>
      </c>
      <c r="I103" s="280"/>
      <c r="J103" s="49">
        <f t="shared" si="121"/>
        <v>0</v>
      </c>
      <c r="K103" s="280"/>
      <c r="L103" s="49">
        <f t="shared" si="122"/>
        <v>0</v>
      </c>
      <c r="M103" s="280"/>
      <c r="N103" s="49">
        <f t="shared" si="123"/>
        <v>0</v>
      </c>
      <c r="O103" s="280"/>
      <c r="P103" s="49">
        <f t="shared" si="124"/>
        <v>0</v>
      </c>
      <c r="Q103" s="280"/>
      <c r="R103" s="49">
        <f t="shared" si="125"/>
        <v>0</v>
      </c>
      <c r="S103" s="280"/>
      <c r="T103" s="49">
        <f t="shared" si="101"/>
        <v>0</v>
      </c>
      <c r="U103" s="280"/>
      <c r="V103" s="49">
        <f t="shared" si="126"/>
        <v>0</v>
      </c>
      <c r="W103" s="280"/>
      <c r="X103" s="49">
        <f t="shared" si="127"/>
        <v>0</v>
      </c>
      <c r="Y103" s="280"/>
      <c r="Z103" s="49">
        <f t="shared" si="102"/>
        <v>0</v>
      </c>
      <c r="AA103" s="320">
        <f t="shared" si="128"/>
        <v>0</v>
      </c>
      <c r="AB103" s="49">
        <f t="shared" ref="AB103:AB114" si="132">AA103/AA$12</f>
        <v>0</v>
      </c>
      <c r="AC103" s="124">
        <f t="shared" si="129"/>
        <v>0</v>
      </c>
      <c r="AD103" s="49">
        <f t="shared" ref="AD103:AD114" si="133">AC103/AC$12</f>
        <v>0</v>
      </c>
      <c r="AE103" s="214"/>
      <c r="AF103" s="54"/>
      <c r="AG103" s="1" t="s">
        <v>167</v>
      </c>
      <c r="AI103" s="269"/>
      <c r="AJ103" s="260">
        <f t="shared" si="117"/>
        <v>0</v>
      </c>
      <c r="AK103" s="268"/>
      <c r="AL103" s="54"/>
    </row>
    <row r="104" spans="1:38" s="1" customFormat="1">
      <c r="A104" s="2">
        <v>6311</v>
      </c>
      <c r="B104" s="2" t="s">
        <v>145</v>
      </c>
      <c r="C104" s="280">
        <v>2750.4911591355599</v>
      </c>
      <c r="D104" s="49">
        <f t="shared" si="118"/>
        <v>1.336416012329545E-2</v>
      </c>
      <c r="E104" s="280"/>
      <c r="F104" s="49">
        <f t="shared" si="119"/>
        <v>0</v>
      </c>
      <c r="G104" s="280"/>
      <c r="H104" s="49">
        <f t="shared" si="120"/>
        <v>0</v>
      </c>
      <c r="I104" s="280"/>
      <c r="J104" s="49">
        <f t="shared" si="121"/>
        <v>0</v>
      </c>
      <c r="K104" s="280"/>
      <c r="L104" s="49">
        <f t="shared" si="122"/>
        <v>0</v>
      </c>
      <c r="M104" s="280"/>
      <c r="N104" s="49">
        <f t="shared" si="123"/>
        <v>0</v>
      </c>
      <c r="O104" s="280"/>
      <c r="P104" s="49">
        <f t="shared" si="124"/>
        <v>0</v>
      </c>
      <c r="Q104" s="280"/>
      <c r="R104" s="49">
        <f t="shared" si="125"/>
        <v>0</v>
      </c>
      <c r="S104" s="280"/>
      <c r="T104" s="49">
        <f t="shared" si="101"/>
        <v>0</v>
      </c>
      <c r="U104" s="280"/>
      <c r="V104" s="49">
        <f t="shared" si="126"/>
        <v>0</v>
      </c>
      <c r="W104" s="280"/>
      <c r="X104" s="49">
        <f t="shared" si="127"/>
        <v>0</v>
      </c>
      <c r="Y104" s="280"/>
      <c r="Z104" s="49">
        <f t="shared" si="102"/>
        <v>0</v>
      </c>
      <c r="AA104" s="320">
        <f t="shared" si="128"/>
        <v>2750.4911591355599</v>
      </c>
      <c r="AB104" s="49">
        <f t="shared" si="132"/>
        <v>1.005138313068925E-3</v>
      </c>
      <c r="AC104" s="124">
        <f t="shared" si="129"/>
        <v>229.20759659462999</v>
      </c>
      <c r="AD104" s="49">
        <f t="shared" si="133"/>
        <v>1.005138313068925E-3</v>
      </c>
      <c r="AE104" s="214"/>
      <c r="AF104" s="54">
        <v>865</v>
      </c>
      <c r="AG104" s="1" t="s">
        <v>170</v>
      </c>
      <c r="AI104" s="269"/>
      <c r="AJ104" s="260">
        <f t="shared" si="117"/>
        <v>14000</v>
      </c>
      <c r="AK104" s="268"/>
      <c r="AL104" s="54"/>
    </row>
    <row r="105" spans="1:38" s="1" customFormat="1">
      <c r="A105" s="2">
        <v>6312</v>
      </c>
      <c r="B105" s="2" t="s">
        <v>146</v>
      </c>
      <c r="C105" s="280"/>
      <c r="D105" s="49">
        <f t="shared" si="118"/>
        <v>0</v>
      </c>
      <c r="E105" s="280"/>
      <c r="F105" s="49">
        <f t="shared" si="119"/>
        <v>0</v>
      </c>
      <c r="G105" s="280"/>
      <c r="H105" s="49">
        <f t="shared" si="120"/>
        <v>0</v>
      </c>
      <c r="I105" s="280"/>
      <c r="J105" s="49">
        <f t="shared" si="121"/>
        <v>0</v>
      </c>
      <c r="K105" s="280"/>
      <c r="L105" s="49">
        <f t="shared" si="122"/>
        <v>0</v>
      </c>
      <c r="M105" s="280"/>
      <c r="N105" s="49">
        <f t="shared" si="123"/>
        <v>0</v>
      </c>
      <c r="O105" s="280"/>
      <c r="P105" s="49">
        <f t="shared" si="124"/>
        <v>0</v>
      </c>
      <c r="Q105" s="280"/>
      <c r="R105" s="49">
        <f t="shared" si="125"/>
        <v>0</v>
      </c>
      <c r="S105" s="280"/>
      <c r="T105" s="49">
        <f t="shared" si="101"/>
        <v>0</v>
      </c>
      <c r="U105" s="280"/>
      <c r="V105" s="49">
        <f t="shared" si="126"/>
        <v>0</v>
      </c>
      <c r="W105" s="280"/>
      <c r="X105" s="49">
        <f t="shared" si="127"/>
        <v>0</v>
      </c>
      <c r="Y105" s="280"/>
      <c r="Z105" s="49">
        <f t="shared" si="102"/>
        <v>0</v>
      </c>
      <c r="AA105" s="320">
        <f t="shared" si="128"/>
        <v>0</v>
      </c>
      <c r="AB105" s="49">
        <f t="shared" si="132"/>
        <v>0</v>
      </c>
      <c r="AC105" s="124">
        <f t="shared" si="129"/>
        <v>0</v>
      </c>
      <c r="AD105" s="49">
        <f t="shared" si="133"/>
        <v>0</v>
      </c>
      <c r="AE105" s="214"/>
      <c r="AF105" s="54">
        <v>425</v>
      </c>
      <c r="AG105" s="1" t="s">
        <v>164</v>
      </c>
      <c r="AI105" s="269"/>
      <c r="AJ105" s="260">
        <f t="shared" si="117"/>
        <v>0</v>
      </c>
      <c r="AK105" s="268"/>
      <c r="AL105" s="54"/>
    </row>
    <row r="106" spans="1:38" s="289" customFormat="1">
      <c r="A106" s="2">
        <v>6313</v>
      </c>
      <c r="B106" s="2" t="s">
        <v>147</v>
      </c>
      <c r="C106" s="280"/>
      <c r="D106" s="49">
        <f t="shared" si="118"/>
        <v>0</v>
      </c>
      <c r="E106" s="280"/>
      <c r="F106" s="49">
        <f t="shared" si="119"/>
        <v>0</v>
      </c>
      <c r="G106" s="280">
        <v>781.38953384532954</v>
      </c>
      <c r="H106" s="49">
        <f t="shared" si="120"/>
        <v>2.9419154164165382E-3</v>
      </c>
      <c r="I106" s="280"/>
      <c r="J106" s="49">
        <f t="shared" si="121"/>
        <v>0</v>
      </c>
      <c r="K106" s="280">
        <v>781.38953384532954</v>
      </c>
      <c r="L106" s="49">
        <f t="shared" si="122"/>
        <v>3.6428409778566529E-3</v>
      </c>
      <c r="M106" s="280"/>
      <c r="N106" s="49">
        <f t="shared" si="123"/>
        <v>0</v>
      </c>
      <c r="O106" s="280"/>
      <c r="P106" s="49">
        <f t="shared" si="124"/>
        <v>0</v>
      </c>
      <c r="Q106" s="280">
        <v>781.38953384532954</v>
      </c>
      <c r="R106" s="49">
        <f t="shared" si="125"/>
        <v>3.2678217347736952E-3</v>
      </c>
      <c r="S106" s="280"/>
      <c r="T106" s="49">
        <f t="shared" si="101"/>
        <v>0</v>
      </c>
      <c r="U106" s="280"/>
      <c r="V106" s="49">
        <f t="shared" si="126"/>
        <v>0</v>
      </c>
      <c r="W106" s="280"/>
      <c r="X106" s="49">
        <f t="shared" si="127"/>
        <v>0</v>
      </c>
      <c r="Y106" s="280">
        <v>781.38953384532954</v>
      </c>
      <c r="Z106" s="49">
        <f t="shared" si="102"/>
        <v>2.6607365349133739E-3</v>
      </c>
      <c r="AA106" s="320">
        <f t="shared" si="128"/>
        <v>3125.5581353813182</v>
      </c>
      <c r="AB106" s="49">
        <f t="shared" si="132"/>
        <v>1.1422026284874148E-3</v>
      </c>
      <c r="AC106" s="124">
        <f t="shared" si="129"/>
        <v>260.46317794844316</v>
      </c>
      <c r="AD106" s="49">
        <f t="shared" si="133"/>
        <v>1.1422026284874146E-3</v>
      </c>
      <c r="AE106" s="214"/>
      <c r="AF106" s="54"/>
      <c r="AI106" s="269"/>
      <c r="AJ106" s="260"/>
      <c r="AK106" s="268"/>
      <c r="AL106" s="54"/>
    </row>
    <row r="107" spans="1:38" s="1" customFormat="1">
      <c r="A107" s="2">
        <v>6314</v>
      </c>
      <c r="B107" s="2" t="s">
        <v>211</v>
      </c>
      <c r="C107" s="280">
        <v>904.18999999999994</v>
      </c>
      <c r="D107" s="49">
        <f t="shared" si="118"/>
        <v>4.393302593155856E-3</v>
      </c>
      <c r="E107" s="280">
        <v>175</v>
      </c>
      <c r="F107" s="49">
        <f t="shared" si="119"/>
        <v>1.09292107741951E-3</v>
      </c>
      <c r="G107" s="280">
        <v>904.18999999999994</v>
      </c>
      <c r="H107" s="49">
        <f t="shared" si="120"/>
        <v>3.4042566289302352E-3</v>
      </c>
      <c r="I107" s="280"/>
      <c r="J107" s="49">
        <f t="shared" si="121"/>
        <v>0</v>
      </c>
      <c r="K107" s="280">
        <v>1079.19</v>
      </c>
      <c r="L107" s="49">
        <f t="shared" si="122"/>
        <v>5.0311878833935054E-3</v>
      </c>
      <c r="M107" s="280">
        <v>904.18999999999994</v>
      </c>
      <c r="N107" s="49">
        <f t="shared" si="123"/>
        <v>2.9727633120999173E-3</v>
      </c>
      <c r="O107" s="280">
        <v>904.18999999999994</v>
      </c>
      <c r="P107" s="49">
        <f t="shared" si="124"/>
        <v>4.6954887228227091E-3</v>
      </c>
      <c r="Q107" s="280"/>
      <c r="R107" s="49">
        <f t="shared" si="125"/>
        <v>0</v>
      </c>
      <c r="S107" s="280">
        <v>1079.19</v>
      </c>
      <c r="T107" s="49">
        <f t="shared" si="101"/>
        <v>4.4801821091142039E-3</v>
      </c>
      <c r="U107" s="280">
        <v>175</v>
      </c>
      <c r="V107" s="49">
        <f t="shared" si="126"/>
        <v>9.1590308800375611E-4</v>
      </c>
      <c r="W107" s="280">
        <v>1079.19</v>
      </c>
      <c r="X107" s="49">
        <f t="shared" si="127"/>
        <v>5.5513668356715227E-3</v>
      </c>
      <c r="Y107" s="280"/>
      <c r="Z107" s="49">
        <f t="shared" si="102"/>
        <v>0</v>
      </c>
      <c r="AA107" s="320">
        <f t="shared" si="128"/>
        <v>7204.33</v>
      </c>
      <c r="AB107" s="49">
        <f t="shared" si="132"/>
        <v>2.6327472745877505E-3</v>
      </c>
      <c r="AC107" s="124">
        <f t="shared" si="129"/>
        <v>600.36083333333329</v>
      </c>
      <c r="AD107" s="49">
        <f t="shared" si="133"/>
        <v>2.6327472745877505E-3</v>
      </c>
      <c r="AE107" s="214"/>
      <c r="AF107" s="54"/>
      <c r="AI107" s="269"/>
      <c r="AJ107" s="260">
        <f t="shared" si="117"/>
        <v>36670.039700000001</v>
      </c>
      <c r="AK107" s="268"/>
      <c r="AL107" s="54"/>
    </row>
    <row r="108" spans="1:38" s="289" customFormat="1">
      <c r="A108" s="2">
        <v>6315</v>
      </c>
      <c r="B108" s="2" t="s">
        <v>241</v>
      </c>
      <c r="C108" s="280"/>
      <c r="D108" s="49">
        <f t="shared" si="118"/>
        <v>0</v>
      </c>
      <c r="E108" s="280">
        <v>1092</v>
      </c>
      <c r="F108" s="49">
        <f t="shared" si="119"/>
        <v>6.8198275230977419E-3</v>
      </c>
      <c r="G108" s="280">
        <v>1342</v>
      </c>
      <c r="H108" s="49">
        <f t="shared" si="120"/>
        <v>5.0526022141633683E-3</v>
      </c>
      <c r="I108" s="280">
        <v>1092</v>
      </c>
      <c r="J108" s="49">
        <f t="shared" si="121"/>
        <v>4.656154120365825E-3</v>
      </c>
      <c r="K108" s="280">
        <v>250</v>
      </c>
      <c r="L108" s="49">
        <f t="shared" si="122"/>
        <v>1.1655009505725372E-3</v>
      </c>
      <c r="M108" s="280"/>
      <c r="N108" s="49">
        <f t="shared" si="123"/>
        <v>0</v>
      </c>
      <c r="O108" s="280">
        <v>175</v>
      </c>
      <c r="P108" s="49">
        <f t="shared" si="124"/>
        <v>9.0878081652525917E-4</v>
      </c>
      <c r="Q108" s="280">
        <v>250</v>
      </c>
      <c r="R108" s="49">
        <f t="shared" si="125"/>
        <v>1.045516222457024E-3</v>
      </c>
      <c r="S108" s="280"/>
      <c r="T108" s="49">
        <f t="shared" si="101"/>
        <v>0</v>
      </c>
      <c r="U108" s="280">
        <v>175</v>
      </c>
      <c r="V108" s="49">
        <f t="shared" si="126"/>
        <v>9.1590308800375611E-4</v>
      </c>
      <c r="W108" s="280"/>
      <c r="X108" s="49">
        <f t="shared" si="127"/>
        <v>0</v>
      </c>
      <c r="Y108" s="280">
        <v>250</v>
      </c>
      <c r="Z108" s="49">
        <f t="shared" si="102"/>
        <v>8.5128364908457037E-4</v>
      </c>
      <c r="AA108" s="320">
        <f t="shared" si="128"/>
        <v>4626</v>
      </c>
      <c r="AB108" s="49">
        <f t="shared" si="132"/>
        <v>1.6905234618962393E-3</v>
      </c>
      <c r="AC108" s="124">
        <f t="shared" si="129"/>
        <v>385.5</v>
      </c>
      <c r="AD108" s="49">
        <f t="shared" si="133"/>
        <v>1.6905234618962393E-3</v>
      </c>
      <c r="AE108" s="214"/>
      <c r="AF108" s="54"/>
      <c r="AI108" s="269"/>
      <c r="AJ108" s="260"/>
      <c r="AK108" s="268"/>
      <c r="AL108" s="54"/>
    </row>
    <row r="109" spans="1:38" s="289" customFormat="1">
      <c r="A109" s="2">
        <v>6316</v>
      </c>
      <c r="B109" s="2" t="s">
        <v>242</v>
      </c>
      <c r="C109" s="280"/>
      <c r="D109" s="49">
        <f t="shared" si="118"/>
        <v>0</v>
      </c>
      <c r="E109" s="280">
        <v>1920</v>
      </c>
      <c r="F109" s="49">
        <f t="shared" si="119"/>
        <v>1.1990905535116909E-2</v>
      </c>
      <c r="G109" s="280"/>
      <c r="H109" s="49">
        <f t="shared" si="120"/>
        <v>0</v>
      </c>
      <c r="I109" s="280"/>
      <c r="J109" s="49">
        <f t="shared" si="121"/>
        <v>0</v>
      </c>
      <c r="K109" s="280">
        <v>3000</v>
      </c>
      <c r="L109" s="49">
        <f t="shared" si="122"/>
        <v>1.3986011406870445E-2</v>
      </c>
      <c r="M109" s="280">
        <f>(9416.5/5.09)/3</f>
        <v>616.66666666666663</v>
      </c>
      <c r="N109" s="49">
        <f t="shared" si="123"/>
        <v>2.0274544536674987E-3</v>
      </c>
      <c r="O109" s="280"/>
      <c r="P109" s="49">
        <f t="shared" si="124"/>
        <v>0</v>
      </c>
      <c r="Q109" s="280">
        <v>3940.5</v>
      </c>
      <c r="R109" s="49">
        <f t="shared" si="125"/>
        <v>1.6479426698367612E-2</v>
      </c>
      <c r="S109" s="280">
        <f>(9416.5/5.09)/3</f>
        <v>616.66666666666663</v>
      </c>
      <c r="T109" s="49">
        <f t="shared" si="101"/>
        <v>2.5600487099464338E-3</v>
      </c>
      <c r="U109" s="280">
        <v>1245</v>
      </c>
      <c r="V109" s="49">
        <f t="shared" si="126"/>
        <v>6.515996254655293E-3</v>
      </c>
      <c r="W109" s="280"/>
      <c r="X109" s="49">
        <f t="shared" si="127"/>
        <v>0</v>
      </c>
      <c r="Y109" s="280"/>
      <c r="Z109" s="49">
        <f t="shared" si="102"/>
        <v>0</v>
      </c>
      <c r="AA109" s="320">
        <f t="shared" si="128"/>
        <v>11338.833333333334</v>
      </c>
      <c r="AB109" s="49">
        <f t="shared" si="132"/>
        <v>4.1436584047840775E-3</v>
      </c>
      <c r="AC109" s="124">
        <f t="shared" si="129"/>
        <v>944.90277777777783</v>
      </c>
      <c r="AD109" s="49">
        <f t="shared" si="133"/>
        <v>4.1436584047840775E-3</v>
      </c>
      <c r="AE109" s="214"/>
      <c r="AF109" s="54"/>
      <c r="AI109" s="269"/>
      <c r="AJ109" s="260"/>
      <c r="AK109" s="268"/>
      <c r="AL109" s="54"/>
    </row>
    <row r="110" spans="1:38" s="289" customFormat="1">
      <c r="A110" s="2">
        <v>6317</v>
      </c>
      <c r="B110" s="2" t="s">
        <v>243</v>
      </c>
      <c r="C110" s="280"/>
      <c r="D110" s="49">
        <f t="shared" si="118"/>
        <v>0</v>
      </c>
      <c r="E110" s="280">
        <v>812.5</v>
      </c>
      <c r="F110" s="49">
        <f t="shared" si="119"/>
        <v>5.0742764308762964E-3</v>
      </c>
      <c r="G110" s="280"/>
      <c r="H110" s="49">
        <f t="shared" si="120"/>
        <v>0</v>
      </c>
      <c r="I110" s="280">
        <v>3940.5</v>
      </c>
      <c r="J110" s="49">
        <f t="shared" si="121"/>
        <v>1.6801808893133274E-2</v>
      </c>
      <c r="K110" s="280">
        <v>950.5</v>
      </c>
      <c r="L110" s="49">
        <f t="shared" si="122"/>
        <v>4.431234614076786E-3</v>
      </c>
      <c r="M110" s="280"/>
      <c r="N110" s="49">
        <f t="shared" si="123"/>
        <v>0</v>
      </c>
      <c r="O110" s="280"/>
      <c r="P110" s="49">
        <f t="shared" si="124"/>
        <v>0</v>
      </c>
      <c r="Q110" s="280">
        <v>2739</v>
      </c>
      <c r="R110" s="49">
        <f t="shared" si="125"/>
        <v>1.1454675733239154E-2</v>
      </c>
      <c r="S110" s="280"/>
      <c r="T110" s="49">
        <f t="shared" si="101"/>
        <v>0</v>
      </c>
      <c r="U110" s="280">
        <v>812.5</v>
      </c>
      <c r="V110" s="49">
        <f t="shared" si="126"/>
        <v>4.2524071943031531E-3</v>
      </c>
      <c r="W110" s="280"/>
      <c r="X110" s="49">
        <f t="shared" si="127"/>
        <v>0</v>
      </c>
      <c r="Y110" s="280"/>
      <c r="Z110" s="49">
        <f t="shared" si="102"/>
        <v>0</v>
      </c>
      <c r="AA110" s="320">
        <f t="shared" si="128"/>
        <v>9255</v>
      </c>
      <c r="AB110" s="49">
        <f t="shared" si="132"/>
        <v>3.3821432425096619E-3</v>
      </c>
      <c r="AC110" s="124">
        <f t="shared" si="129"/>
        <v>771.25</v>
      </c>
      <c r="AD110" s="49">
        <f t="shared" si="133"/>
        <v>3.3821432425096619E-3</v>
      </c>
      <c r="AE110" s="214"/>
      <c r="AF110" s="54"/>
      <c r="AI110" s="269"/>
      <c r="AJ110" s="260"/>
      <c r="AK110" s="268"/>
      <c r="AL110" s="54"/>
    </row>
    <row r="111" spans="1:38" s="289" customFormat="1">
      <c r="A111" s="2">
        <v>6318</v>
      </c>
      <c r="B111" s="2" t="s">
        <v>244</v>
      </c>
      <c r="C111" s="280"/>
      <c r="D111" s="49">
        <f t="shared" si="118"/>
        <v>0</v>
      </c>
      <c r="E111" s="280"/>
      <c r="F111" s="49">
        <f t="shared" si="119"/>
        <v>0</v>
      </c>
      <c r="G111" s="280"/>
      <c r="H111" s="49">
        <f t="shared" si="120"/>
        <v>0</v>
      </c>
      <c r="I111" s="280"/>
      <c r="J111" s="49">
        <f t="shared" si="121"/>
        <v>0</v>
      </c>
      <c r="K111" s="280"/>
      <c r="L111" s="49">
        <f t="shared" si="122"/>
        <v>0</v>
      </c>
      <c r="M111" s="280"/>
      <c r="N111" s="49">
        <f t="shared" si="123"/>
        <v>0</v>
      </c>
      <c r="O111" s="280"/>
      <c r="P111" s="49">
        <f t="shared" si="124"/>
        <v>0</v>
      </c>
      <c r="Q111" s="280"/>
      <c r="R111" s="49">
        <f t="shared" si="125"/>
        <v>0</v>
      </c>
      <c r="S111" s="280"/>
      <c r="T111" s="49">
        <f t="shared" si="101"/>
        <v>0</v>
      </c>
      <c r="U111" s="280"/>
      <c r="V111" s="49">
        <f t="shared" si="126"/>
        <v>0</v>
      </c>
      <c r="W111" s="280"/>
      <c r="X111" s="49">
        <f t="shared" si="127"/>
        <v>0</v>
      </c>
      <c r="Y111" s="280"/>
      <c r="Z111" s="49">
        <f t="shared" si="102"/>
        <v>0</v>
      </c>
      <c r="AA111" s="320">
        <f t="shared" si="128"/>
        <v>0</v>
      </c>
      <c r="AB111" s="49">
        <f t="shared" si="132"/>
        <v>0</v>
      </c>
      <c r="AC111" s="124">
        <f t="shared" si="129"/>
        <v>0</v>
      </c>
      <c r="AD111" s="49">
        <f t="shared" si="133"/>
        <v>0</v>
      </c>
      <c r="AE111" s="214"/>
      <c r="AF111" s="54"/>
      <c r="AI111" s="269"/>
      <c r="AJ111" s="260"/>
      <c r="AK111" s="268"/>
      <c r="AL111" s="54"/>
    </row>
    <row r="112" spans="1:38" s="289" customFormat="1">
      <c r="A112" s="2">
        <v>6319</v>
      </c>
      <c r="B112" s="2" t="s">
        <v>245</v>
      </c>
      <c r="C112" s="280"/>
      <c r="D112" s="49">
        <f t="shared" si="118"/>
        <v>0</v>
      </c>
      <c r="E112" s="280">
        <v>2522.7999999999997</v>
      </c>
      <c r="F112" s="49">
        <f t="shared" si="119"/>
        <v>1.5755550252079652E-2</v>
      </c>
      <c r="G112" s="280">
        <v>2522.7999999999997</v>
      </c>
      <c r="H112" s="49">
        <f t="shared" si="120"/>
        <v>9.4982897659398983E-3</v>
      </c>
      <c r="I112" s="280">
        <v>2522.7999999999997</v>
      </c>
      <c r="J112" s="49">
        <f t="shared" si="121"/>
        <v>1.0756909903716944E-2</v>
      </c>
      <c r="K112" s="280">
        <v>2522.7999999999997</v>
      </c>
      <c r="L112" s="49">
        <f t="shared" si="122"/>
        <v>1.1761303192417586E-2</v>
      </c>
      <c r="M112" s="280"/>
      <c r="N112" s="49">
        <f t="shared" si="123"/>
        <v>0</v>
      </c>
      <c r="O112" s="280">
        <v>2522.7999999999997</v>
      </c>
      <c r="P112" s="49">
        <f t="shared" si="124"/>
        <v>1.3100984251028135E-2</v>
      </c>
      <c r="Q112" s="280">
        <v>2522.7999999999997</v>
      </c>
      <c r="R112" s="49">
        <f t="shared" si="125"/>
        <v>1.0550513304058318E-2</v>
      </c>
      <c r="S112" s="280">
        <v>2522.7999999999997</v>
      </c>
      <c r="T112" s="49">
        <f t="shared" si="101"/>
        <v>1.0473228462896535E-2</v>
      </c>
      <c r="U112" s="280">
        <v>2522.7999999999997</v>
      </c>
      <c r="V112" s="49">
        <f t="shared" si="126"/>
        <v>1.3203658916662146E-2</v>
      </c>
      <c r="W112" s="280">
        <v>2522.7999999999997</v>
      </c>
      <c r="X112" s="49">
        <f t="shared" si="127"/>
        <v>1.2977314701796824E-2</v>
      </c>
      <c r="Y112" s="280">
        <v>2522.7999999999997</v>
      </c>
      <c r="Z112" s="49">
        <f t="shared" si="102"/>
        <v>8.5904735596422158E-3</v>
      </c>
      <c r="AA112" s="320">
        <f t="shared" si="128"/>
        <v>25227.999999999996</v>
      </c>
      <c r="AB112" s="49">
        <f t="shared" si="132"/>
        <v>9.2193095323645311E-3</v>
      </c>
      <c r="AC112" s="124">
        <f t="shared" si="129"/>
        <v>2102.333333333333</v>
      </c>
      <c r="AD112" s="49">
        <f t="shared" si="133"/>
        <v>9.2193095323645311E-3</v>
      </c>
      <c r="AE112" s="214"/>
      <c r="AF112" s="54"/>
      <c r="AI112" s="269"/>
      <c r="AJ112" s="260"/>
      <c r="AK112" s="268"/>
      <c r="AL112" s="54"/>
    </row>
    <row r="113" spans="1:38" s="289" customFormat="1">
      <c r="A113" s="2">
        <v>6320</v>
      </c>
      <c r="B113" s="2" t="s">
        <v>246</v>
      </c>
      <c r="C113" s="280"/>
      <c r="D113" s="49">
        <f t="shared" si="118"/>
        <v>0</v>
      </c>
      <c r="E113" s="280"/>
      <c r="F113" s="49">
        <f t="shared" si="119"/>
        <v>0</v>
      </c>
      <c r="G113" s="280"/>
      <c r="H113" s="49">
        <f t="shared" si="120"/>
        <v>0</v>
      </c>
      <c r="I113" s="280"/>
      <c r="J113" s="49">
        <f t="shared" si="121"/>
        <v>0</v>
      </c>
      <c r="K113" s="280"/>
      <c r="L113" s="49">
        <f t="shared" si="122"/>
        <v>0</v>
      </c>
      <c r="M113" s="280"/>
      <c r="N113" s="49">
        <f t="shared" si="123"/>
        <v>0</v>
      </c>
      <c r="O113" s="280"/>
      <c r="P113" s="49">
        <f t="shared" si="124"/>
        <v>0</v>
      </c>
      <c r="Q113" s="280"/>
      <c r="R113" s="49">
        <f t="shared" si="125"/>
        <v>0</v>
      </c>
      <c r="S113" s="280"/>
      <c r="T113" s="49">
        <f t="shared" si="101"/>
        <v>0</v>
      </c>
      <c r="U113" s="280"/>
      <c r="V113" s="49">
        <f t="shared" si="126"/>
        <v>0</v>
      </c>
      <c r="W113" s="280"/>
      <c r="X113" s="49">
        <f t="shared" si="127"/>
        <v>0</v>
      </c>
      <c r="Y113" s="280"/>
      <c r="Z113" s="49">
        <f t="shared" si="102"/>
        <v>0</v>
      </c>
      <c r="AA113" s="320">
        <f t="shared" si="128"/>
        <v>0</v>
      </c>
      <c r="AB113" s="49">
        <f t="shared" si="132"/>
        <v>0</v>
      </c>
      <c r="AC113" s="124">
        <f t="shared" si="129"/>
        <v>0</v>
      </c>
      <c r="AD113" s="49">
        <f t="shared" si="133"/>
        <v>0</v>
      </c>
      <c r="AE113" s="214"/>
      <c r="AF113" s="54"/>
      <c r="AI113" s="269"/>
      <c r="AJ113" s="260"/>
      <c r="AK113" s="268"/>
      <c r="AL113" s="54"/>
    </row>
    <row r="114" spans="1:38" s="289" customFormat="1">
      <c r="A114" s="2">
        <v>6321</v>
      </c>
      <c r="B114" s="2" t="s">
        <v>247</v>
      </c>
      <c r="C114" s="350"/>
      <c r="D114" s="132">
        <f t="shared" si="118"/>
        <v>0</v>
      </c>
      <c r="E114" s="350"/>
      <c r="F114" s="132">
        <f t="shared" si="119"/>
        <v>0</v>
      </c>
      <c r="G114" s="350"/>
      <c r="H114" s="132">
        <f t="shared" si="120"/>
        <v>0</v>
      </c>
      <c r="I114" s="350"/>
      <c r="J114" s="132">
        <f t="shared" si="121"/>
        <v>0</v>
      </c>
      <c r="K114" s="350"/>
      <c r="L114" s="132">
        <f t="shared" si="122"/>
        <v>0</v>
      </c>
      <c r="M114" s="350"/>
      <c r="N114" s="132">
        <f t="shared" si="123"/>
        <v>0</v>
      </c>
      <c r="O114" s="350"/>
      <c r="P114" s="132">
        <f t="shared" si="124"/>
        <v>0</v>
      </c>
      <c r="Q114" s="350"/>
      <c r="R114" s="132">
        <f t="shared" si="125"/>
        <v>0</v>
      </c>
      <c r="S114" s="350"/>
      <c r="T114" s="132">
        <f t="shared" si="101"/>
        <v>0</v>
      </c>
      <c r="U114" s="350"/>
      <c r="V114" s="132">
        <f t="shared" si="126"/>
        <v>0</v>
      </c>
      <c r="W114" s="350"/>
      <c r="X114" s="132">
        <f t="shared" si="127"/>
        <v>0</v>
      </c>
      <c r="Y114" s="350"/>
      <c r="Z114" s="132">
        <f t="shared" si="102"/>
        <v>0</v>
      </c>
      <c r="AA114" s="583">
        <f t="shared" si="128"/>
        <v>0</v>
      </c>
      <c r="AB114" s="132">
        <f t="shared" si="132"/>
        <v>0</v>
      </c>
      <c r="AC114" s="584">
        <f t="shared" si="129"/>
        <v>0</v>
      </c>
      <c r="AD114" s="132">
        <f t="shared" si="133"/>
        <v>0</v>
      </c>
      <c r="AE114" s="214"/>
      <c r="AF114" s="54"/>
      <c r="AI114" s="269"/>
      <c r="AJ114" s="260"/>
      <c r="AK114" s="268"/>
      <c r="AL114" s="54"/>
    </row>
    <row r="115" spans="1:38" s="1" customFormat="1" ht="15.75" thickBot="1">
      <c r="A115" s="4">
        <v>6399</v>
      </c>
      <c r="B115" s="4" t="s">
        <v>115</v>
      </c>
      <c r="C115" s="344">
        <f>SUM(C94:C114)</f>
        <v>4095.2182910165598</v>
      </c>
      <c r="D115" s="345">
        <f>C115/C12</f>
        <v>1.9897956333804121E-2</v>
      </c>
      <c r="E115" s="344">
        <f>SUM(E94:E114)</f>
        <v>7050.7325031998098</v>
      </c>
      <c r="F115" s="345">
        <f>E115/E12</f>
        <v>4.4033680937107966E-2</v>
      </c>
      <c r="G115" s="344">
        <f>SUM(G94:G114)</f>
        <v>5858.5654979612336</v>
      </c>
      <c r="H115" s="345">
        <f>G115/G12</f>
        <v>2.2057377799418812E-2</v>
      </c>
      <c r="I115" s="344">
        <f>SUM(I94:I114)</f>
        <v>8210.6831742528138</v>
      </c>
      <c r="J115" s="345">
        <f>I115/I12</f>
        <v>3.5009346421992299E-2</v>
      </c>
      <c r="K115" s="344">
        <f>SUM(K94:K114)</f>
        <v>9158.9743830195966</v>
      </c>
      <c r="L115" s="345">
        <f>K115/K12</f>
        <v>4.2699173398715429E-2</v>
      </c>
      <c r="M115" s="344">
        <f>SUM(M94:M114)</f>
        <v>1772.4122316227563</v>
      </c>
      <c r="N115" s="345">
        <f>M115/M12</f>
        <v>5.8272730909269856E-3</v>
      </c>
      <c r="O115" s="344">
        <f>SUM(O94:O114)</f>
        <v>3955.1808502374151</v>
      </c>
      <c r="P115" s="345">
        <f>O115/O12</f>
        <v>2.0539385614764726E-2</v>
      </c>
      <c r="Q115" s="344">
        <f>SUM(Q94:Q114)</f>
        <v>10598.043268033927</v>
      </c>
      <c r="R115" s="345">
        <f>Q115/Q12</f>
        <v>4.4321704652123699E-2</v>
      </c>
      <c r="S115" s="344">
        <f>SUM(S94:S114)</f>
        <v>4890.390339097321</v>
      </c>
      <c r="T115" s="345">
        <f>S115/S12</f>
        <v>2.0302114830390162E-2</v>
      </c>
      <c r="U115" s="344">
        <f>SUM(U94:U114)</f>
        <v>5621.781476050046</v>
      </c>
      <c r="V115" s="345">
        <f>U115/U12</f>
        <v>2.9422897222837436E-2</v>
      </c>
      <c r="W115" s="344">
        <f>SUM(W94:W114)</f>
        <v>4004.7734925000468</v>
      </c>
      <c r="X115" s="345">
        <f>W115/W12</f>
        <v>2.0600604852381115E-2</v>
      </c>
      <c r="Y115" s="344">
        <f>SUM(Y94:Y114)</f>
        <v>3973.040598494485</v>
      </c>
      <c r="Z115" s="345">
        <f>Y115/Y12</f>
        <v>1.3528737994590121E-2</v>
      </c>
      <c r="AA115" s="344">
        <f>SUM(AA94:AA114)</f>
        <v>69189.796105486006</v>
      </c>
      <c r="AB115" s="345">
        <f>AA115/AA12</f>
        <v>2.5284689502840713E-2</v>
      </c>
      <c r="AC115" s="346">
        <f t="shared" ref="AC115" si="134">AA115/12</f>
        <v>5765.8163421238341</v>
      </c>
      <c r="AD115" s="345">
        <f>AC115/AC12</f>
        <v>2.5284689502840716E-2</v>
      </c>
      <c r="AE115" s="218"/>
      <c r="AF115" s="219"/>
      <c r="AG115" s="209"/>
      <c r="AI115" s="269"/>
      <c r="AJ115" s="260">
        <f t="shared" si="117"/>
        <v>352176.06217692379</v>
      </c>
      <c r="AK115" s="268"/>
      <c r="AL115" s="54"/>
    </row>
    <row r="116" spans="1:38" s="1" customFormat="1" ht="15.75" thickTop="1">
      <c r="A116" s="20">
        <v>6401</v>
      </c>
      <c r="B116" s="20" t="s">
        <v>89</v>
      </c>
      <c r="C116" s="175"/>
      <c r="D116" s="49">
        <f t="shared" ref="D116:D122" si="135">C116/C$12</f>
        <v>0</v>
      </c>
      <c r="E116" s="175"/>
      <c r="F116" s="146">
        <f t="shared" ref="F116:F122" si="136">E116/E$12</f>
        <v>0</v>
      </c>
      <c r="G116" s="175"/>
      <c r="H116" s="49">
        <f t="shared" ref="H116:H122" si="137">G116/G$12</f>
        <v>0</v>
      </c>
      <c r="I116" s="175"/>
      <c r="J116" s="146">
        <f t="shared" ref="J116:J122" si="138">I116/I$12</f>
        <v>0</v>
      </c>
      <c r="K116" s="175"/>
      <c r="L116" s="49">
        <f t="shared" ref="L116:L122" si="139">K116/K$12</f>
        <v>0</v>
      </c>
      <c r="M116" s="175"/>
      <c r="N116" s="146">
        <f t="shared" ref="N116:N122" si="140">M116/M$12</f>
        <v>0</v>
      </c>
      <c r="O116" s="175"/>
      <c r="P116" s="146">
        <f t="shared" ref="P116:P122" si="141">O116/O$12</f>
        <v>0</v>
      </c>
      <c r="Q116" s="175"/>
      <c r="R116" s="146">
        <f t="shared" ref="R116:R122" si="142">Q116/Q$12</f>
        <v>0</v>
      </c>
      <c r="S116" s="175"/>
      <c r="T116" s="146">
        <f t="shared" si="101"/>
        <v>0</v>
      </c>
      <c r="U116" s="175"/>
      <c r="V116" s="146">
        <f t="shared" ref="V116:V122" si="143">U116/U$12</f>
        <v>0</v>
      </c>
      <c r="W116" s="175"/>
      <c r="X116" s="146">
        <f t="shared" ref="X116:X122" si="144">W116/W$12</f>
        <v>0</v>
      </c>
      <c r="Y116" s="175"/>
      <c r="Z116" s="146">
        <f t="shared" si="102"/>
        <v>0</v>
      </c>
      <c r="AA116" s="105">
        <f t="shared" ref="AA116:AA128" si="145">C116+E116+G116+I116+K116+M116+O116+Q116+S116+U116+W116+Y116</f>
        <v>0</v>
      </c>
      <c r="AB116" s="108">
        <f t="shared" si="103"/>
        <v>0</v>
      </c>
      <c r="AC116" s="89">
        <f t="shared" ref="AC116:AC128" si="146">AA116/12</f>
        <v>0</v>
      </c>
      <c r="AD116" s="92">
        <f t="shared" si="104"/>
        <v>0</v>
      </c>
      <c r="AE116" s="214"/>
      <c r="AF116" s="54">
        <v>-36</v>
      </c>
      <c r="AG116" s="1" t="s">
        <v>149</v>
      </c>
      <c r="AI116" s="269"/>
      <c r="AJ116" s="260">
        <f t="shared" si="117"/>
        <v>0</v>
      </c>
      <c r="AK116" s="268"/>
      <c r="AL116" s="54"/>
    </row>
    <row r="117" spans="1:38" s="5" customFormat="1">
      <c r="A117" s="128">
        <v>6402</v>
      </c>
      <c r="B117" s="20" t="s">
        <v>75</v>
      </c>
      <c r="C117" s="176">
        <v>100</v>
      </c>
      <c r="D117" s="49">
        <f t="shared" si="135"/>
        <v>4.8588267876838458E-4</v>
      </c>
      <c r="E117" s="176">
        <v>100</v>
      </c>
      <c r="F117" s="49">
        <f t="shared" si="136"/>
        <v>6.2452632995400566E-4</v>
      </c>
      <c r="G117" s="176">
        <v>100</v>
      </c>
      <c r="H117" s="49">
        <f t="shared" si="137"/>
        <v>3.7649792952037023E-4</v>
      </c>
      <c r="I117" s="176">
        <v>100</v>
      </c>
      <c r="J117" s="49">
        <f t="shared" si="138"/>
        <v>4.263877399602404E-4</v>
      </c>
      <c r="K117" s="176">
        <v>100</v>
      </c>
      <c r="L117" s="49">
        <f t="shared" si="139"/>
        <v>4.6620038022901483E-4</v>
      </c>
      <c r="M117" s="176">
        <v>100</v>
      </c>
      <c r="N117" s="49">
        <f t="shared" si="140"/>
        <v>3.2877639789202686E-4</v>
      </c>
      <c r="O117" s="176">
        <v>100</v>
      </c>
      <c r="P117" s="49">
        <f t="shared" si="141"/>
        <v>5.1930332372871954E-4</v>
      </c>
      <c r="Q117" s="176">
        <v>100</v>
      </c>
      <c r="R117" s="49">
        <f t="shared" si="142"/>
        <v>4.1820648898280955E-4</v>
      </c>
      <c r="S117" s="176">
        <v>100</v>
      </c>
      <c r="T117" s="49">
        <f t="shared" si="101"/>
        <v>4.1514303404536769E-4</v>
      </c>
      <c r="U117" s="176">
        <v>100</v>
      </c>
      <c r="V117" s="49">
        <f t="shared" si="143"/>
        <v>5.2337319314500351E-4</v>
      </c>
      <c r="W117" s="176">
        <v>100</v>
      </c>
      <c r="X117" s="49">
        <f t="shared" si="144"/>
        <v>5.1440124868387606E-4</v>
      </c>
      <c r="Y117" s="176">
        <v>100</v>
      </c>
      <c r="Z117" s="49">
        <f t="shared" si="102"/>
        <v>3.4051345963382815E-4</v>
      </c>
      <c r="AA117" s="105">
        <f t="shared" si="145"/>
        <v>1200</v>
      </c>
      <c r="AB117" s="108">
        <f t="shared" si="103"/>
        <v>4.3852748687321386E-4</v>
      </c>
      <c r="AC117" s="124">
        <f t="shared" si="146"/>
        <v>100</v>
      </c>
      <c r="AD117" s="49">
        <f t="shared" si="104"/>
        <v>4.3852748687321386E-4</v>
      </c>
      <c r="AE117" s="144"/>
      <c r="AF117" s="54"/>
      <c r="AG117" s="5" t="s">
        <v>159</v>
      </c>
      <c r="AI117" s="269"/>
      <c r="AJ117" s="260">
        <f t="shared" si="117"/>
        <v>6108</v>
      </c>
      <c r="AK117" s="268"/>
      <c r="AL117" s="54"/>
    </row>
    <row r="118" spans="1:38" s="5" customFormat="1">
      <c r="A118" s="128">
        <v>6403</v>
      </c>
      <c r="B118" s="20" t="s">
        <v>277</v>
      </c>
      <c r="C118" s="176"/>
      <c r="D118" s="49"/>
      <c r="E118" s="176"/>
      <c r="F118" s="49"/>
      <c r="G118" s="176"/>
      <c r="H118" s="49"/>
      <c r="I118" s="176"/>
      <c r="J118" s="49"/>
      <c r="K118" s="176"/>
      <c r="L118" s="49"/>
      <c r="M118" s="176"/>
      <c r="N118" s="49"/>
      <c r="O118" s="176"/>
      <c r="P118" s="49"/>
      <c r="Q118" s="176"/>
      <c r="R118" s="49"/>
      <c r="S118" s="176"/>
      <c r="T118" s="49"/>
      <c r="U118" s="176"/>
      <c r="V118" s="49"/>
      <c r="W118" s="176"/>
      <c r="X118" s="49"/>
      <c r="Y118" s="176"/>
      <c r="Z118" s="49"/>
      <c r="AA118" s="105">
        <f t="shared" si="145"/>
        <v>0</v>
      </c>
      <c r="AB118" s="108">
        <f t="shared" si="103"/>
        <v>0</v>
      </c>
      <c r="AC118" s="124">
        <f t="shared" si="146"/>
        <v>0</v>
      </c>
      <c r="AD118" s="49">
        <f t="shared" si="104"/>
        <v>0</v>
      </c>
      <c r="AE118" s="144"/>
      <c r="AF118" s="54"/>
      <c r="AI118" s="269"/>
      <c r="AJ118" s="260"/>
      <c r="AK118" s="268"/>
      <c r="AL118" s="54"/>
    </row>
    <row r="119" spans="1:38" s="1" customFormat="1">
      <c r="A119" s="2">
        <v>6404</v>
      </c>
      <c r="B119" s="147" t="s">
        <v>92</v>
      </c>
      <c r="C119" s="176">
        <v>250</v>
      </c>
      <c r="D119" s="49">
        <f t="shared" si="135"/>
        <v>1.2147066969209616E-3</v>
      </c>
      <c r="E119" s="176">
        <v>250</v>
      </c>
      <c r="F119" s="49">
        <f t="shared" si="136"/>
        <v>1.5613158248850142E-3</v>
      </c>
      <c r="G119" s="176">
        <v>250</v>
      </c>
      <c r="H119" s="49">
        <f t="shared" si="137"/>
        <v>9.4124482380092552E-4</v>
      </c>
      <c r="I119" s="176">
        <v>250</v>
      </c>
      <c r="J119" s="49">
        <f t="shared" si="138"/>
        <v>1.0659693499006011E-3</v>
      </c>
      <c r="K119" s="176">
        <v>250</v>
      </c>
      <c r="L119" s="49">
        <f t="shared" si="139"/>
        <v>1.1655009505725372E-3</v>
      </c>
      <c r="M119" s="176">
        <v>250</v>
      </c>
      <c r="N119" s="49">
        <f t="shared" si="140"/>
        <v>8.2194099473006715E-4</v>
      </c>
      <c r="O119" s="176">
        <v>250</v>
      </c>
      <c r="P119" s="49">
        <f t="shared" si="141"/>
        <v>1.2982583093217989E-3</v>
      </c>
      <c r="Q119" s="176">
        <v>250</v>
      </c>
      <c r="R119" s="49">
        <f t="shared" si="142"/>
        <v>1.045516222457024E-3</v>
      </c>
      <c r="S119" s="176">
        <v>250</v>
      </c>
      <c r="T119" s="49">
        <f t="shared" si="101"/>
        <v>1.0378575851134192E-3</v>
      </c>
      <c r="U119" s="176">
        <v>250</v>
      </c>
      <c r="V119" s="49">
        <f t="shared" si="143"/>
        <v>1.3084329828625086E-3</v>
      </c>
      <c r="W119" s="176">
        <v>250</v>
      </c>
      <c r="X119" s="49">
        <f t="shared" si="144"/>
        <v>1.2860031217096903E-3</v>
      </c>
      <c r="Y119" s="176">
        <v>250</v>
      </c>
      <c r="Z119" s="49">
        <f t="shared" si="102"/>
        <v>8.5128364908457037E-4</v>
      </c>
      <c r="AA119" s="105">
        <f t="shared" si="145"/>
        <v>3000</v>
      </c>
      <c r="AB119" s="108">
        <f t="shared" si="103"/>
        <v>1.0963187171830345E-3</v>
      </c>
      <c r="AC119" s="124">
        <f t="shared" si="146"/>
        <v>250</v>
      </c>
      <c r="AD119" s="92">
        <f t="shared" si="104"/>
        <v>1.0963187171830345E-3</v>
      </c>
      <c r="AE119" s="214"/>
      <c r="AF119" s="54"/>
      <c r="AI119" s="269"/>
      <c r="AJ119" s="260">
        <f t="shared" si="117"/>
        <v>15270</v>
      </c>
      <c r="AK119" s="268"/>
      <c r="AL119" s="54"/>
    </row>
    <row r="120" spans="1:38" s="1" customFormat="1">
      <c r="A120" s="2">
        <v>6406</v>
      </c>
      <c r="B120" s="147" t="s">
        <v>72</v>
      </c>
      <c r="C120" s="62">
        <v>150</v>
      </c>
      <c r="D120" s="49">
        <f t="shared" si="135"/>
        <v>7.2882401815257687E-4</v>
      </c>
      <c r="E120" s="62">
        <v>150</v>
      </c>
      <c r="F120" s="49">
        <f t="shared" si="136"/>
        <v>9.3678949493100855E-4</v>
      </c>
      <c r="G120" s="62">
        <v>150</v>
      </c>
      <c r="H120" s="49">
        <f t="shared" si="137"/>
        <v>5.6474689428055529E-4</v>
      </c>
      <c r="I120" s="62">
        <v>150</v>
      </c>
      <c r="J120" s="49">
        <f t="shared" si="138"/>
        <v>6.3958160994036055E-4</v>
      </c>
      <c r="K120" s="62">
        <v>150</v>
      </c>
      <c r="L120" s="49">
        <f t="shared" si="139"/>
        <v>6.9930057034352222E-4</v>
      </c>
      <c r="M120" s="62">
        <v>150</v>
      </c>
      <c r="N120" s="49">
        <f t="shared" si="140"/>
        <v>4.9316459683804029E-4</v>
      </c>
      <c r="O120" s="62">
        <v>150</v>
      </c>
      <c r="P120" s="49">
        <f t="shared" si="141"/>
        <v>7.7895498559307926E-4</v>
      </c>
      <c r="Q120" s="62">
        <v>150</v>
      </c>
      <c r="R120" s="49">
        <f t="shared" si="142"/>
        <v>6.2730973347421436E-4</v>
      </c>
      <c r="S120" s="62">
        <v>150</v>
      </c>
      <c r="T120" s="49">
        <f t="shared" si="101"/>
        <v>6.2271455106805156E-4</v>
      </c>
      <c r="U120" s="62">
        <v>150</v>
      </c>
      <c r="V120" s="49">
        <f t="shared" si="143"/>
        <v>7.8505978971750521E-4</v>
      </c>
      <c r="W120" s="62">
        <v>150</v>
      </c>
      <c r="X120" s="49">
        <f t="shared" si="144"/>
        <v>7.7160187302581409E-4</v>
      </c>
      <c r="Y120" s="62">
        <v>150</v>
      </c>
      <c r="Z120" s="49">
        <f t="shared" si="102"/>
        <v>5.1077018945074222E-4</v>
      </c>
      <c r="AA120" s="105">
        <f t="shared" si="145"/>
        <v>1800</v>
      </c>
      <c r="AB120" s="108">
        <f t="shared" si="103"/>
        <v>6.5779123030982071E-4</v>
      </c>
      <c r="AC120" s="124">
        <f t="shared" si="146"/>
        <v>150</v>
      </c>
      <c r="AD120" s="92">
        <f t="shared" si="104"/>
        <v>6.5779123030982071E-4</v>
      </c>
      <c r="AE120" s="214"/>
      <c r="AF120" s="54"/>
      <c r="AG120" s="1" t="s">
        <v>160</v>
      </c>
      <c r="AI120" s="269"/>
      <c r="AJ120" s="260">
        <f t="shared" si="117"/>
        <v>9162</v>
      </c>
      <c r="AK120" s="268"/>
      <c r="AL120" s="54"/>
    </row>
    <row r="121" spans="1:38" s="1" customFormat="1">
      <c r="A121" s="2">
        <v>6407</v>
      </c>
      <c r="B121" s="147" t="s">
        <v>73</v>
      </c>
      <c r="C121" s="62">
        <v>0</v>
      </c>
      <c r="D121" s="49">
        <f t="shared" si="135"/>
        <v>0</v>
      </c>
      <c r="E121" s="62">
        <v>0</v>
      </c>
      <c r="F121" s="49">
        <f t="shared" si="136"/>
        <v>0</v>
      </c>
      <c r="G121" s="62">
        <v>0</v>
      </c>
      <c r="H121" s="49">
        <f t="shared" si="137"/>
        <v>0</v>
      </c>
      <c r="I121" s="62">
        <v>0</v>
      </c>
      <c r="J121" s="49">
        <f t="shared" si="138"/>
        <v>0</v>
      </c>
      <c r="K121" s="62">
        <v>0</v>
      </c>
      <c r="L121" s="49">
        <f t="shared" si="139"/>
        <v>0</v>
      </c>
      <c r="M121" s="62">
        <v>0</v>
      </c>
      <c r="N121" s="49">
        <f t="shared" si="140"/>
        <v>0</v>
      </c>
      <c r="O121" s="62">
        <v>0</v>
      </c>
      <c r="P121" s="49">
        <f t="shared" si="141"/>
        <v>0</v>
      </c>
      <c r="Q121" s="62">
        <v>0</v>
      </c>
      <c r="R121" s="49">
        <f t="shared" si="142"/>
        <v>0</v>
      </c>
      <c r="S121" s="62">
        <v>0</v>
      </c>
      <c r="T121" s="49">
        <f t="shared" si="101"/>
        <v>0</v>
      </c>
      <c r="U121" s="62">
        <v>0</v>
      </c>
      <c r="V121" s="49">
        <f t="shared" si="143"/>
        <v>0</v>
      </c>
      <c r="W121" s="62">
        <v>0</v>
      </c>
      <c r="X121" s="49">
        <f t="shared" si="144"/>
        <v>0</v>
      </c>
      <c r="Y121" s="62">
        <v>0</v>
      </c>
      <c r="Z121" s="49">
        <f t="shared" si="102"/>
        <v>0</v>
      </c>
      <c r="AA121" s="105">
        <f t="shared" si="145"/>
        <v>0</v>
      </c>
      <c r="AB121" s="108">
        <f t="shared" si="103"/>
        <v>0</v>
      </c>
      <c r="AC121" s="124">
        <f t="shared" si="146"/>
        <v>0</v>
      </c>
      <c r="AD121" s="92">
        <f t="shared" si="104"/>
        <v>0</v>
      </c>
      <c r="AE121" s="214"/>
      <c r="AF121" s="54"/>
      <c r="AI121" s="269"/>
      <c r="AJ121" s="260">
        <f t="shared" si="117"/>
        <v>0</v>
      </c>
      <c r="AK121" s="268"/>
      <c r="AL121" s="54"/>
    </row>
    <row r="122" spans="1:38" s="1" customFormat="1">
      <c r="A122" s="2">
        <v>6408</v>
      </c>
      <c r="B122" s="147" t="s">
        <v>42</v>
      </c>
      <c r="C122" s="62">
        <v>0</v>
      </c>
      <c r="D122" s="49">
        <f t="shared" si="135"/>
        <v>0</v>
      </c>
      <c r="E122" s="62">
        <v>0</v>
      </c>
      <c r="F122" s="49">
        <f t="shared" si="136"/>
        <v>0</v>
      </c>
      <c r="G122" s="62">
        <v>0</v>
      </c>
      <c r="H122" s="49">
        <f t="shared" si="137"/>
        <v>0</v>
      </c>
      <c r="I122" s="62">
        <v>0</v>
      </c>
      <c r="J122" s="49">
        <f t="shared" si="138"/>
        <v>0</v>
      </c>
      <c r="K122" s="62">
        <v>0</v>
      </c>
      <c r="L122" s="49">
        <f t="shared" si="139"/>
        <v>0</v>
      </c>
      <c r="M122" s="62">
        <v>0</v>
      </c>
      <c r="N122" s="49">
        <f t="shared" si="140"/>
        <v>0</v>
      </c>
      <c r="O122" s="62">
        <v>0</v>
      </c>
      <c r="P122" s="49">
        <f t="shared" si="141"/>
        <v>0</v>
      </c>
      <c r="Q122" s="62">
        <v>0</v>
      </c>
      <c r="R122" s="49">
        <f t="shared" si="142"/>
        <v>0</v>
      </c>
      <c r="S122" s="62">
        <v>0</v>
      </c>
      <c r="T122" s="49">
        <f t="shared" si="101"/>
        <v>0</v>
      </c>
      <c r="U122" s="62">
        <v>0</v>
      </c>
      <c r="V122" s="49">
        <f t="shared" si="143"/>
        <v>0</v>
      </c>
      <c r="W122" s="62">
        <v>0</v>
      </c>
      <c r="X122" s="49">
        <f t="shared" si="144"/>
        <v>0</v>
      </c>
      <c r="Y122" s="62">
        <v>0</v>
      </c>
      <c r="Z122" s="49">
        <f t="shared" si="102"/>
        <v>0</v>
      </c>
      <c r="AA122" s="105">
        <f t="shared" si="145"/>
        <v>0</v>
      </c>
      <c r="AB122" s="108">
        <f t="shared" si="103"/>
        <v>0</v>
      </c>
      <c r="AC122" s="124">
        <f t="shared" si="146"/>
        <v>0</v>
      </c>
      <c r="AD122" s="92">
        <f t="shared" si="104"/>
        <v>0</v>
      </c>
      <c r="AE122" s="214"/>
      <c r="AF122" s="54"/>
      <c r="AI122" s="269"/>
      <c r="AJ122" s="260">
        <f t="shared" si="117"/>
        <v>0</v>
      </c>
      <c r="AK122" s="268"/>
      <c r="AL122" s="54"/>
    </row>
    <row r="123" spans="1:38" s="1" customFormat="1">
      <c r="A123" s="2">
        <v>6410</v>
      </c>
      <c r="B123" s="147" t="s">
        <v>105</v>
      </c>
      <c r="C123" s="62"/>
      <c r="D123" s="49"/>
      <c r="E123" s="62"/>
      <c r="F123" s="49"/>
      <c r="G123" s="62"/>
      <c r="H123" s="49"/>
      <c r="I123" s="62"/>
      <c r="J123" s="49"/>
      <c r="K123" s="62"/>
      <c r="L123" s="49"/>
      <c r="M123" s="62"/>
      <c r="N123" s="49"/>
      <c r="O123" s="62"/>
      <c r="P123" s="49"/>
      <c r="Q123" s="62"/>
      <c r="R123" s="49"/>
      <c r="S123" s="62"/>
      <c r="T123" s="49"/>
      <c r="U123" s="62"/>
      <c r="V123" s="49"/>
      <c r="W123" s="62"/>
      <c r="X123" s="49"/>
      <c r="Y123" s="62"/>
      <c r="Z123" s="49"/>
      <c r="AA123" s="105">
        <f t="shared" si="145"/>
        <v>0</v>
      </c>
      <c r="AB123" s="108"/>
      <c r="AC123" s="124">
        <f t="shared" si="146"/>
        <v>0</v>
      </c>
      <c r="AD123" s="92"/>
      <c r="AE123" s="214"/>
      <c r="AF123" s="54"/>
      <c r="AI123" s="269"/>
      <c r="AJ123" s="260">
        <f t="shared" si="117"/>
        <v>0</v>
      </c>
      <c r="AK123" s="268"/>
      <c r="AL123" s="54"/>
    </row>
    <row r="124" spans="1:38" s="1" customFormat="1">
      <c r="A124" s="2">
        <v>6411</v>
      </c>
      <c r="B124" s="147" t="s">
        <v>117</v>
      </c>
      <c r="C124" s="62"/>
      <c r="D124" s="49"/>
      <c r="E124" s="62"/>
      <c r="F124" s="49"/>
      <c r="G124" s="62"/>
      <c r="H124" s="49"/>
      <c r="I124" s="62"/>
      <c r="J124" s="49"/>
      <c r="K124" s="62"/>
      <c r="L124" s="49"/>
      <c r="M124" s="62"/>
      <c r="N124" s="49"/>
      <c r="O124" s="62"/>
      <c r="P124" s="49"/>
      <c r="Q124" s="62"/>
      <c r="R124" s="49"/>
      <c r="S124" s="62"/>
      <c r="T124" s="49"/>
      <c r="U124" s="62"/>
      <c r="V124" s="49"/>
      <c r="W124" s="62"/>
      <c r="X124" s="49"/>
      <c r="Y124" s="62"/>
      <c r="Z124" s="49"/>
      <c r="AA124" s="105">
        <f t="shared" si="145"/>
        <v>0</v>
      </c>
      <c r="AB124" s="108"/>
      <c r="AC124" s="124">
        <f t="shared" si="146"/>
        <v>0</v>
      </c>
      <c r="AD124" s="92"/>
      <c r="AE124" s="214"/>
      <c r="AF124" s="54"/>
      <c r="AI124" s="269"/>
      <c r="AJ124" s="260">
        <f t="shared" si="117"/>
        <v>0</v>
      </c>
      <c r="AK124" s="268"/>
      <c r="AL124" s="54"/>
    </row>
    <row r="125" spans="1:38" s="1" customFormat="1">
      <c r="A125" s="2">
        <v>6412</v>
      </c>
      <c r="B125" s="147" t="s">
        <v>93</v>
      </c>
      <c r="C125" s="62"/>
      <c r="D125" s="49">
        <f>C125/C$12</f>
        <v>0</v>
      </c>
      <c r="E125" s="62"/>
      <c r="F125" s="49">
        <f>E125/E$12</f>
        <v>0</v>
      </c>
      <c r="G125" s="62"/>
      <c r="H125" s="49">
        <f>G125/G$12</f>
        <v>0</v>
      </c>
      <c r="I125" s="62"/>
      <c r="J125" s="49">
        <f>I125/I$12</f>
        <v>0</v>
      </c>
      <c r="K125" s="62"/>
      <c r="L125" s="49">
        <f>K125/K$12</f>
        <v>0</v>
      </c>
      <c r="M125" s="62"/>
      <c r="N125" s="49">
        <f>M125/M$12</f>
        <v>0</v>
      </c>
      <c r="O125" s="62"/>
      <c r="P125" s="49">
        <f>O125/O$12</f>
        <v>0</v>
      </c>
      <c r="Q125" s="62"/>
      <c r="R125" s="49">
        <f>Q125/Q$12</f>
        <v>0</v>
      </c>
      <c r="S125" s="62"/>
      <c r="T125" s="49">
        <f>S125/S$12</f>
        <v>0</v>
      </c>
      <c r="U125" s="62"/>
      <c r="V125" s="49">
        <f>U125/U$12</f>
        <v>0</v>
      </c>
      <c r="W125" s="62"/>
      <c r="X125" s="49">
        <f>W125/W$12</f>
        <v>0</v>
      </c>
      <c r="Y125" s="62"/>
      <c r="Z125" s="49">
        <f>Y125/Y$12</f>
        <v>0</v>
      </c>
      <c r="AA125" s="105">
        <f t="shared" si="145"/>
        <v>0</v>
      </c>
      <c r="AB125" s="108">
        <f>AA125/AA$12</f>
        <v>0</v>
      </c>
      <c r="AC125" s="124">
        <f t="shared" si="146"/>
        <v>0</v>
      </c>
      <c r="AD125" s="92">
        <f>AC125/AC$12</f>
        <v>0</v>
      </c>
      <c r="AE125" s="214"/>
      <c r="AF125" s="54"/>
      <c r="AI125" s="269"/>
      <c r="AJ125" s="260">
        <f t="shared" si="117"/>
        <v>0</v>
      </c>
      <c r="AK125" s="268"/>
      <c r="AL125" s="54"/>
    </row>
    <row r="126" spans="1:38" s="1" customFormat="1">
      <c r="A126" s="128">
        <v>6413</v>
      </c>
      <c r="B126" s="20" t="s">
        <v>41</v>
      </c>
      <c r="C126" s="62">
        <f>C16*1%</f>
        <v>2058.11</v>
      </c>
      <c r="D126" s="49">
        <f>C126/C$12</f>
        <v>0.01</v>
      </c>
      <c r="E126" s="62">
        <f>E16*1%</f>
        <v>1601.21351500688</v>
      </c>
      <c r="F126" s="49">
        <f>E126/E$12</f>
        <v>0.01</v>
      </c>
      <c r="G126" s="62">
        <f>G16*1%</f>
        <v>2656.0571030866599</v>
      </c>
      <c r="H126" s="49">
        <f>G126/G$12</f>
        <v>0.01</v>
      </c>
      <c r="I126" s="62">
        <f>I16*1%</f>
        <v>2345.2831924605703</v>
      </c>
      <c r="J126" s="49">
        <f>I126/I$12</f>
        <v>0.01</v>
      </c>
      <c r="K126" s="62">
        <f>K16*1%</f>
        <v>2145.00039555687</v>
      </c>
      <c r="L126" s="49">
        <f>K126/K$12</f>
        <v>0.01</v>
      </c>
      <c r="M126" s="62">
        <f>M16*1%</f>
        <v>3041.58086289518</v>
      </c>
      <c r="N126" s="49">
        <f>M126/M$12</f>
        <v>0.01</v>
      </c>
      <c r="O126" s="62">
        <f>O16*1%</f>
        <v>1925.6568450588102</v>
      </c>
      <c r="P126" s="49">
        <f>O126/O$12</f>
        <v>0.01</v>
      </c>
      <c r="Q126" s="62">
        <f>Q16*1%</f>
        <v>2391.1632802070299</v>
      </c>
      <c r="R126" s="49">
        <f>Q126/Q$12</f>
        <v>0.01</v>
      </c>
      <c r="S126" s="62">
        <f>S16*1%</f>
        <v>2408.8083334928797</v>
      </c>
      <c r="T126" s="49">
        <f>S126/S$12</f>
        <v>0.01</v>
      </c>
      <c r="U126" s="62">
        <f>U16*1%</f>
        <v>1910.6824978767004</v>
      </c>
      <c r="V126" s="49">
        <f>U126/U$12</f>
        <v>0.01</v>
      </c>
      <c r="W126" s="62">
        <f>W16*1%</f>
        <v>1944.0077226844901</v>
      </c>
      <c r="X126" s="49">
        <f>W126/W$12</f>
        <v>0.01</v>
      </c>
      <c r="Y126" s="62">
        <f>Y16*1%</f>
        <v>2936.7414758739701</v>
      </c>
      <c r="Z126" s="49">
        <f>Y126/Y$12</f>
        <v>0.01</v>
      </c>
      <c r="AA126" s="105">
        <f t="shared" si="145"/>
        <v>27364.305224200041</v>
      </c>
      <c r="AB126" s="108">
        <f>AA126/AA$12</f>
        <v>0.01</v>
      </c>
      <c r="AC126" s="124">
        <f t="shared" si="146"/>
        <v>2280.3587686833366</v>
      </c>
      <c r="AD126" s="92">
        <f>AC126/AC$12</f>
        <v>0.01</v>
      </c>
      <c r="AE126" s="214" t="s">
        <v>182</v>
      </c>
      <c r="AF126" s="205">
        <v>7.7999999999999996E-3</v>
      </c>
      <c r="AG126" s="1" t="s">
        <v>180</v>
      </c>
      <c r="AI126" s="269"/>
      <c r="AJ126" s="260">
        <f t="shared" si="117"/>
        <v>139284.31359117822</v>
      </c>
      <c r="AK126" s="268"/>
      <c r="AL126" s="54"/>
    </row>
    <row r="127" spans="1:38" s="1" customFormat="1">
      <c r="A127" s="2">
        <v>6414</v>
      </c>
      <c r="B127" s="147" t="s">
        <v>43</v>
      </c>
      <c r="C127" s="62">
        <v>100</v>
      </c>
      <c r="D127" s="49">
        <f>C127/C$12</f>
        <v>4.8588267876838458E-4</v>
      </c>
      <c r="E127" s="62">
        <v>100</v>
      </c>
      <c r="F127" s="49">
        <f>E127/E$12</f>
        <v>6.2452632995400566E-4</v>
      </c>
      <c r="G127" s="62">
        <v>100</v>
      </c>
      <c r="H127" s="49">
        <f>G127/G$12</f>
        <v>3.7649792952037023E-4</v>
      </c>
      <c r="I127" s="62">
        <v>100</v>
      </c>
      <c r="J127" s="49">
        <f>I127/I$12</f>
        <v>4.263877399602404E-4</v>
      </c>
      <c r="K127" s="62">
        <v>100</v>
      </c>
      <c r="L127" s="49">
        <f>K127/K$12</f>
        <v>4.6620038022901483E-4</v>
      </c>
      <c r="M127" s="62">
        <v>100</v>
      </c>
      <c r="N127" s="49">
        <f>M127/M$12</f>
        <v>3.2877639789202686E-4</v>
      </c>
      <c r="O127" s="62">
        <v>100</v>
      </c>
      <c r="P127" s="49">
        <f>O127/O$12</f>
        <v>5.1930332372871954E-4</v>
      </c>
      <c r="Q127" s="62">
        <v>100</v>
      </c>
      <c r="R127" s="49">
        <f>Q127/Q$12</f>
        <v>4.1820648898280955E-4</v>
      </c>
      <c r="S127" s="62">
        <v>100</v>
      </c>
      <c r="T127" s="49">
        <f>S127/S$12</f>
        <v>4.1514303404536769E-4</v>
      </c>
      <c r="U127" s="62">
        <v>100</v>
      </c>
      <c r="V127" s="49">
        <f>U127/U$12</f>
        <v>5.2337319314500351E-4</v>
      </c>
      <c r="W127" s="62">
        <v>100</v>
      </c>
      <c r="X127" s="49">
        <f>W127/W$12</f>
        <v>5.1440124868387606E-4</v>
      </c>
      <c r="Y127" s="62">
        <v>100</v>
      </c>
      <c r="Z127" s="49">
        <f>Y127/Y$12</f>
        <v>3.4051345963382815E-4</v>
      </c>
      <c r="AA127" s="105">
        <f t="shared" si="145"/>
        <v>1200</v>
      </c>
      <c r="AB127" s="108">
        <f>AA127/AA$12</f>
        <v>4.3852748687321386E-4</v>
      </c>
      <c r="AC127" s="124">
        <f t="shared" si="146"/>
        <v>100</v>
      </c>
      <c r="AD127" s="92">
        <f>AC127/AC$12</f>
        <v>4.3852748687321386E-4</v>
      </c>
      <c r="AE127" s="214" t="s">
        <v>181</v>
      </c>
      <c r="AF127" s="54">
        <v>600</v>
      </c>
      <c r="AG127" s="1" t="s">
        <v>150</v>
      </c>
      <c r="AI127" s="269"/>
      <c r="AJ127" s="260">
        <f t="shared" si="117"/>
        <v>6108</v>
      </c>
      <c r="AK127" s="268"/>
      <c r="AL127" s="54"/>
    </row>
    <row r="128" spans="1:38" s="1" customFormat="1">
      <c r="A128" s="2">
        <v>6415</v>
      </c>
      <c r="B128" s="147" t="s">
        <v>44</v>
      </c>
      <c r="C128" s="62"/>
      <c r="D128" s="49">
        <f>C128/C$12</f>
        <v>0</v>
      </c>
      <c r="E128" s="62"/>
      <c r="F128" s="49">
        <f>E128/E$12</f>
        <v>0</v>
      </c>
      <c r="G128" s="62"/>
      <c r="H128" s="49">
        <f>G128/G$12</f>
        <v>0</v>
      </c>
      <c r="I128" s="62"/>
      <c r="J128" s="49">
        <f>I128/I$12</f>
        <v>0</v>
      </c>
      <c r="K128" s="62"/>
      <c r="L128" s="49">
        <f>K128/K$12</f>
        <v>0</v>
      </c>
      <c r="M128" s="62"/>
      <c r="N128" s="49">
        <f>M128/M$12</f>
        <v>0</v>
      </c>
      <c r="O128" s="62"/>
      <c r="P128" s="49">
        <f>O128/O$12</f>
        <v>0</v>
      </c>
      <c r="Q128" s="62"/>
      <c r="R128" s="49">
        <f>Q128/Q$12</f>
        <v>0</v>
      </c>
      <c r="S128" s="62"/>
      <c r="T128" s="49">
        <f>S128/S$12</f>
        <v>0</v>
      </c>
      <c r="U128" s="62"/>
      <c r="V128" s="49">
        <f>U128/U$12</f>
        <v>0</v>
      </c>
      <c r="W128" s="62"/>
      <c r="X128" s="49">
        <f>W128/W$12</f>
        <v>0</v>
      </c>
      <c r="Y128" s="62"/>
      <c r="Z128" s="49">
        <f>Y128/Y$12</f>
        <v>0</v>
      </c>
      <c r="AA128" s="105">
        <f t="shared" si="145"/>
        <v>0</v>
      </c>
      <c r="AB128" s="108">
        <f>AA128/AA$12</f>
        <v>0</v>
      </c>
      <c r="AC128" s="124">
        <f t="shared" si="146"/>
        <v>0</v>
      </c>
      <c r="AD128" s="92">
        <f>AC128/AC$12</f>
        <v>0</v>
      </c>
      <c r="AE128" s="214"/>
      <c r="AF128" s="54"/>
      <c r="AI128" s="269"/>
      <c r="AJ128" s="260">
        <f t="shared" si="117"/>
        <v>0</v>
      </c>
      <c r="AK128" s="268"/>
      <c r="AL128" s="54"/>
    </row>
    <row r="129" spans="1:38" s="1" customFormat="1" ht="15.75" thickBot="1">
      <c r="A129" s="4">
        <v>6499</v>
      </c>
      <c r="B129" s="4" t="s">
        <v>116</v>
      </c>
      <c r="C129" s="22">
        <f>SUM(C116:C128)</f>
        <v>2658.11</v>
      </c>
      <c r="D129" s="71">
        <f>C129/C12</f>
        <v>1.2915296072610308E-2</v>
      </c>
      <c r="E129" s="22">
        <f>SUM(E116:E128)</f>
        <v>2201.2135150068798</v>
      </c>
      <c r="F129" s="71">
        <f>E129/E12</f>
        <v>1.3747157979724032E-2</v>
      </c>
      <c r="G129" s="22">
        <f>SUM(G116:G128)</f>
        <v>3256.0571030866599</v>
      </c>
      <c r="H129" s="71">
        <f>G129/G12</f>
        <v>1.2258987577122222E-2</v>
      </c>
      <c r="I129" s="22">
        <f>SUM(I116:I128)</f>
        <v>2945.2831924605703</v>
      </c>
      <c r="J129" s="71">
        <f>I129/I12</f>
        <v>1.2558326439761442E-2</v>
      </c>
      <c r="K129" s="22">
        <f>SUM(K116:K128)</f>
        <v>2745.00039555687</v>
      </c>
      <c r="L129" s="71">
        <f>K129/K12</f>
        <v>1.279720228137409E-2</v>
      </c>
      <c r="M129" s="22">
        <f>SUM(M116:M128)</f>
        <v>3641.58086289518</v>
      </c>
      <c r="N129" s="71">
        <f>M129/M12</f>
        <v>1.1972658387352161E-2</v>
      </c>
      <c r="O129" s="22">
        <f>SUM(O116:O128)</f>
        <v>2525.6568450588102</v>
      </c>
      <c r="P129" s="71">
        <f>O129/O12</f>
        <v>1.3115819942372318E-2</v>
      </c>
      <c r="Q129" s="56">
        <f>SUM(Q116:Q128)</f>
        <v>2991.1632802070299</v>
      </c>
      <c r="R129" s="71">
        <f>Q129/Q12</f>
        <v>1.2509238933896856E-2</v>
      </c>
      <c r="S129" s="38">
        <f>SUM(S116:S128)</f>
        <v>3008.8083334928797</v>
      </c>
      <c r="T129" s="71">
        <f>S129/S$12</f>
        <v>1.2490858204272206E-2</v>
      </c>
      <c r="U129" s="56">
        <f>SUM(U116:U128)</f>
        <v>2510.6824978767004</v>
      </c>
      <c r="V129" s="71">
        <f>U129/U12</f>
        <v>1.3140239158870021E-2</v>
      </c>
      <c r="W129" s="38">
        <f>SUM(W116:W128)</f>
        <v>2544.0077226844901</v>
      </c>
      <c r="X129" s="71">
        <f>W129/W12</f>
        <v>1.3086407492103255E-2</v>
      </c>
      <c r="Y129" s="38">
        <f>SUM(Y116:Y128)</f>
        <v>3536.7414758739701</v>
      </c>
      <c r="Z129" s="71">
        <f>Y129/Y$12</f>
        <v>1.2043080757802969E-2</v>
      </c>
      <c r="AA129" s="109">
        <f>SUM(AA116:AA128)</f>
        <v>34564.305224200041</v>
      </c>
      <c r="AB129" s="110">
        <f>AA129/AA$12</f>
        <v>1.2631164921239283E-2</v>
      </c>
      <c r="AC129" s="93">
        <f>SUM(AC116:AC128)</f>
        <v>2880.3587686833366</v>
      </c>
      <c r="AD129" s="94">
        <f>AC129/AC$12</f>
        <v>1.2631164921239283E-2</v>
      </c>
      <c r="AE129" s="218"/>
      <c r="AF129" s="219"/>
      <c r="AG129" s="209"/>
      <c r="AI129" s="269"/>
      <c r="AJ129" s="260">
        <f t="shared" si="117"/>
        <v>175932.31359117822</v>
      </c>
      <c r="AK129" s="268"/>
      <c r="AL129" s="54"/>
    </row>
    <row r="130" spans="1:38" s="1" customFormat="1" ht="15.75" thickTop="1">
      <c r="A130" s="139"/>
      <c r="B130" s="139"/>
      <c r="C130" s="62"/>
      <c r="D130" s="82"/>
      <c r="E130" s="62"/>
      <c r="F130" s="82"/>
      <c r="G130" s="62"/>
      <c r="H130" s="82"/>
      <c r="I130" s="62"/>
      <c r="J130" s="82"/>
      <c r="K130" s="26"/>
      <c r="L130" s="82"/>
      <c r="M130" s="26"/>
      <c r="N130" s="82"/>
      <c r="O130" s="26"/>
      <c r="P130" s="82"/>
      <c r="Q130" s="45"/>
      <c r="R130" s="82"/>
      <c r="S130" s="45"/>
      <c r="T130" s="82"/>
      <c r="U130" s="45"/>
      <c r="V130" s="82"/>
      <c r="W130" s="45"/>
      <c r="X130" s="82"/>
      <c r="Y130" s="45"/>
      <c r="Z130" s="82"/>
      <c r="AA130" s="45"/>
      <c r="AB130" s="82"/>
      <c r="AC130" s="45"/>
      <c r="AD130" s="82"/>
      <c r="AE130" s="138"/>
      <c r="AF130" s="54"/>
      <c r="AI130" s="269"/>
      <c r="AJ130" s="260">
        <f t="shared" si="117"/>
        <v>0</v>
      </c>
      <c r="AK130" s="268"/>
      <c r="AL130" s="54"/>
    </row>
    <row r="131" spans="1:38" s="1" customFormat="1" ht="15.75" thickBot="1">
      <c r="A131" s="142"/>
      <c r="B131" s="153" t="s">
        <v>187</v>
      </c>
      <c r="C131" s="186">
        <f>C37-C41-C76-C93-C115-C129</f>
        <v>15272.64506453901</v>
      </c>
      <c r="D131" s="161">
        <f>C131/C12</f>
        <v>7.4207136958369627E-2</v>
      </c>
      <c r="E131" s="186">
        <f>E37-E41-E76-E93-E115-E129</f>
        <v>-10030.72564721854</v>
      </c>
      <c r="F131" s="161">
        <f>E131/E12</f>
        <v>-6.2644522752329138E-2</v>
      </c>
      <c r="G131" s="186">
        <f>G37-G41-G76-G93-G115-G129</f>
        <v>30428.994700629377</v>
      </c>
      <c r="H131" s="161">
        <f>G131/G12</f>
        <v>0.11456453502173278</v>
      </c>
      <c r="I131" s="186">
        <f>I37-I41-I76-I93-I115-I129</f>
        <v>20556.301726036625</v>
      </c>
      <c r="J131" s="161">
        <f>I131/I12</f>
        <v>8.7649550349055458E-2</v>
      </c>
      <c r="K131" s="186">
        <f>K37-K41-K76-K93-K115-K129</f>
        <v>26315.897255717144</v>
      </c>
      <c r="L131" s="161">
        <f>K131/K12</f>
        <v>0.12268481306683021</v>
      </c>
      <c r="M131" s="186">
        <f>M37-M41-M76-M93-M115-M129</f>
        <v>48505.492710591927</v>
      </c>
      <c r="N131" s="161">
        <f>M131/M12</f>
        <v>0.15947461171366378</v>
      </c>
      <c r="O131" s="186">
        <f>O37-O41-O76-O93-O115-O129</f>
        <v>830.4212208375202</v>
      </c>
      <c r="P131" s="161">
        <f>O131/O12</f>
        <v>4.3124050007578522E-3</v>
      </c>
      <c r="Q131" s="155">
        <f>Q37-Q41-Q76-Q93-Q115-Q129</f>
        <v>1798.8736591456573</v>
      </c>
      <c r="R131" s="161">
        <f>Q131/Q12</f>
        <v>7.5230063711496462E-3</v>
      </c>
      <c r="S131" s="155">
        <f>S37-S41-S76-S93-S115-S129</f>
        <v>30535.664641212294</v>
      </c>
      <c r="T131" s="161">
        <f>S131/S12</f>
        <v>0.12676668465744725</v>
      </c>
      <c r="U131" s="155">
        <f>U37-U41-U76-U93-U115-U129</f>
        <v>7127.9393041259082</v>
      </c>
      <c r="V131" s="161">
        <f>U131/U12</f>
        <v>3.7305723541441509E-2</v>
      </c>
      <c r="W131" s="155">
        <f>W37-W41-W76-W93-W115-W129</f>
        <v>12792.564126487019</v>
      </c>
      <c r="X131" s="161">
        <f>W131/W12</f>
        <v>6.5805109605334811E-2</v>
      </c>
      <c r="Y131" s="155">
        <f>Y37-Y41-Y76-Y93-Y115-Y129</f>
        <v>51180.649661579337</v>
      </c>
      <c r="Z131" s="161">
        <f>Y131/Y12</f>
        <v>0.17427700082571296</v>
      </c>
      <c r="AA131" s="155">
        <f>AA37-AA41-AA76-AA93-AA115-AA129</f>
        <v>235314.71842368357</v>
      </c>
      <c r="AB131" s="161">
        <f>AA131/AA12</f>
        <v>8.5993310078846585E-2</v>
      </c>
      <c r="AC131" s="159">
        <f>AC37-AC41-AC76-AC93-AC115-AC129</f>
        <v>19609.559868640277</v>
      </c>
      <c r="AD131" s="161">
        <f>AC131/AC12</f>
        <v>8.5993310078846502E-2</v>
      </c>
      <c r="AE131" s="161"/>
      <c r="AF131" s="219"/>
      <c r="AG131" s="209"/>
      <c r="AI131" s="269"/>
      <c r="AJ131" s="260">
        <f t="shared" si="117"/>
        <v>1197751.9167765479</v>
      </c>
      <c r="AK131" s="268"/>
      <c r="AL131" s="54"/>
    </row>
    <row r="132" spans="1:38" s="1" customFormat="1" ht="15.75" thickTop="1">
      <c r="B132" s="20"/>
      <c r="C132" s="167"/>
      <c r="D132" s="19"/>
      <c r="E132" s="167"/>
      <c r="F132" s="19"/>
      <c r="G132" s="167"/>
      <c r="H132" s="19"/>
      <c r="I132" s="167"/>
      <c r="J132" s="19"/>
      <c r="K132" s="135"/>
      <c r="L132" s="19"/>
      <c r="M132" s="135"/>
      <c r="N132" s="19"/>
      <c r="O132" s="135"/>
      <c r="P132" s="19"/>
      <c r="Q132" s="134"/>
      <c r="R132" s="19"/>
      <c r="S132" s="134"/>
      <c r="T132" s="19"/>
      <c r="U132" s="134"/>
      <c r="V132" s="19"/>
      <c r="W132" s="134"/>
      <c r="X132" s="19"/>
      <c r="Y132" s="134"/>
      <c r="Z132" s="19"/>
      <c r="AA132" s="289"/>
      <c r="AB132" s="289"/>
      <c r="AC132" s="134"/>
      <c r="AD132" s="19"/>
      <c r="AE132" s="134"/>
      <c r="AF132" s="54"/>
      <c r="AI132" s="269"/>
      <c r="AJ132" s="260">
        <f t="shared" si="117"/>
        <v>0</v>
      </c>
      <c r="AK132" s="268"/>
      <c r="AL132" s="54"/>
    </row>
    <row r="133" spans="1:38" s="1" customFormat="1" ht="15.75" thickBot="1">
      <c r="A133" s="158"/>
      <c r="B133" s="4" t="s">
        <v>140</v>
      </c>
      <c r="C133" s="170"/>
      <c r="D133" s="171"/>
      <c r="E133" s="170"/>
      <c r="F133" s="171"/>
      <c r="G133" s="170"/>
      <c r="H133" s="171"/>
      <c r="I133" s="170"/>
      <c r="J133" s="171"/>
      <c r="K133" s="52"/>
      <c r="L133" s="171"/>
      <c r="M133" s="52"/>
      <c r="N133" s="171"/>
      <c r="O133" s="52"/>
      <c r="P133" s="171"/>
      <c r="Q133" s="170"/>
      <c r="R133" s="171"/>
      <c r="S133" s="170"/>
      <c r="T133" s="171"/>
      <c r="U133" s="170"/>
      <c r="V133" s="171"/>
      <c r="W133" s="170"/>
      <c r="X133" s="171"/>
      <c r="Y133" s="170"/>
      <c r="Z133" s="171"/>
      <c r="AA133" s="172">
        <f>C133+E133+G133+I133+K133+M133+O133+Q133+S133+U133+W133+Y133</f>
        <v>0</v>
      </c>
      <c r="AB133" s="171">
        <f>AA133/AA$12</f>
        <v>0</v>
      </c>
      <c r="AC133" s="172">
        <f>AA133/12</f>
        <v>0</v>
      </c>
      <c r="AD133" s="171">
        <f>AC133/AC$12</f>
        <v>0</v>
      </c>
      <c r="AE133" s="224"/>
      <c r="AF133" s="219"/>
      <c r="AG133" s="209"/>
      <c r="AI133" s="269"/>
      <c r="AJ133" s="260">
        <f t="shared" si="117"/>
        <v>0</v>
      </c>
      <c r="AK133" s="268"/>
      <c r="AL133" s="54"/>
    </row>
    <row r="134" spans="1:38" s="1" customFormat="1" ht="15.75" customHeight="1" thickTop="1">
      <c r="B134" s="139"/>
      <c r="C134" s="167"/>
      <c r="D134" s="19"/>
      <c r="E134" s="167"/>
      <c r="F134" s="19"/>
      <c r="G134" s="167"/>
      <c r="H134" s="19"/>
      <c r="I134" s="167"/>
      <c r="J134" s="19"/>
      <c r="K134" s="135"/>
      <c r="L134" s="19"/>
      <c r="M134" s="135"/>
      <c r="N134" s="19"/>
      <c r="O134" s="135"/>
      <c r="P134" s="19"/>
      <c r="Q134" s="134"/>
      <c r="R134" s="19"/>
      <c r="S134" s="134"/>
      <c r="T134" s="19"/>
      <c r="U134" s="134"/>
      <c r="V134" s="19"/>
      <c r="W134" s="134"/>
      <c r="X134" s="19"/>
      <c r="Y134" s="134"/>
      <c r="Z134" s="19"/>
      <c r="AA134" s="289"/>
      <c r="AB134" s="289"/>
      <c r="AC134" s="134"/>
      <c r="AD134" s="19"/>
      <c r="AE134" s="134"/>
      <c r="AF134" s="54"/>
      <c r="AI134" s="269"/>
      <c r="AJ134" s="260">
        <f t="shared" si="117"/>
        <v>0</v>
      </c>
      <c r="AK134" s="268"/>
      <c r="AL134" s="54"/>
    </row>
    <row r="135" spans="1:38" s="1" customFormat="1" ht="15.75" customHeight="1" thickBot="1">
      <c r="A135" s="4"/>
      <c r="B135" s="4" t="s">
        <v>131</v>
      </c>
      <c r="C135" s="22">
        <f>C131-C133</f>
        <v>15272.64506453901</v>
      </c>
      <c r="D135" s="71">
        <f>C135/C12</f>
        <v>7.4207136958369627E-2</v>
      </c>
      <c r="E135" s="22">
        <f>E131-E133</f>
        <v>-10030.72564721854</v>
      </c>
      <c r="F135" s="71">
        <f>E135/E12</f>
        <v>-6.2644522752329138E-2</v>
      </c>
      <c r="G135" s="22">
        <f>G131-G133</f>
        <v>30428.994700629377</v>
      </c>
      <c r="H135" s="71">
        <f>G135/G12</f>
        <v>0.11456453502173278</v>
      </c>
      <c r="I135" s="22">
        <f>I131-I133</f>
        <v>20556.301726036625</v>
      </c>
      <c r="J135" s="71">
        <f>I135/I12</f>
        <v>8.7649550349055458E-2</v>
      </c>
      <c r="K135" s="22">
        <f>K131-K133</f>
        <v>26315.897255717144</v>
      </c>
      <c r="L135" s="71">
        <f>K135/K12</f>
        <v>0.12268481306683021</v>
      </c>
      <c r="M135" s="22">
        <f>M131-M133</f>
        <v>48505.492710591927</v>
      </c>
      <c r="N135" s="71">
        <f>M135/M12</f>
        <v>0.15947461171366378</v>
      </c>
      <c r="O135" s="22">
        <f>O131-O133</f>
        <v>830.4212208375202</v>
      </c>
      <c r="P135" s="71">
        <f>O135/O12</f>
        <v>4.3124050007578522E-3</v>
      </c>
      <c r="Q135" s="38">
        <f>Q131-Q133</f>
        <v>1798.8736591456573</v>
      </c>
      <c r="R135" s="71">
        <f>Q135/Q12</f>
        <v>7.5230063711496462E-3</v>
      </c>
      <c r="S135" s="38">
        <f>S131-S133</f>
        <v>30535.664641212294</v>
      </c>
      <c r="T135" s="71">
        <f>S135/S12</f>
        <v>0.12676668465744725</v>
      </c>
      <c r="U135" s="38">
        <f>U131-U133</f>
        <v>7127.9393041259082</v>
      </c>
      <c r="V135" s="71">
        <f>U135/U12</f>
        <v>3.7305723541441509E-2</v>
      </c>
      <c r="W135" s="38">
        <f>W131-W133</f>
        <v>12792.564126487019</v>
      </c>
      <c r="X135" s="71">
        <f>W135/W12</f>
        <v>6.5805109605334811E-2</v>
      </c>
      <c r="Y135" s="38">
        <f>Y131-Y133</f>
        <v>51180.649661579337</v>
      </c>
      <c r="Z135" s="71">
        <f>Y135/Y12</f>
        <v>0.17427700082571296</v>
      </c>
      <c r="AA135" s="38">
        <f>AA131-AA133</f>
        <v>235314.71842368357</v>
      </c>
      <c r="AB135" s="76">
        <f>AA135/AA12</f>
        <v>8.5993310078846585E-2</v>
      </c>
      <c r="AC135" s="38">
        <f>AC131-AC133</f>
        <v>19609.559868640277</v>
      </c>
      <c r="AD135" s="71">
        <f>AC135/AC12</f>
        <v>8.5993310078846502E-2</v>
      </c>
      <c r="AE135" s="225"/>
      <c r="AF135" s="219"/>
      <c r="AG135" s="209"/>
      <c r="AI135" s="269"/>
      <c r="AJ135" s="260">
        <f t="shared" si="117"/>
        <v>1197751.9167765479</v>
      </c>
      <c r="AK135" s="268"/>
      <c r="AL135" s="54"/>
    </row>
    <row r="136" spans="1:38" s="1" customFormat="1" ht="15.75" customHeight="1" thickTop="1">
      <c r="A136" s="20">
        <v>6501</v>
      </c>
      <c r="B136" s="147"/>
      <c r="C136" s="62"/>
      <c r="D136" s="49">
        <f t="shared" ref="D136:D143" si="147">C136/C$12</f>
        <v>0</v>
      </c>
      <c r="E136" s="62"/>
      <c r="F136" s="49">
        <f t="shared" ref="F136:F143" si="148">E136/E$12</f>
        <v>0</v>
      </c>
      <c r="G136" s="62"/>
      <c r="H136" s="49">
        <f t="shared" ref="H136:H143" si="149">G136/G$12</f>
        <v>0</v>
      </c>
      <c r="I136" s="62"/>
      <c r="J136" s="49">
        <f t="shared" ref="J136:J143" si="150">I136/I$12</f>
        <v>0</v>
      </c>
      <c r="K136" s="26"/>
      <c r="L136" s="49">
        <f t="shared" ref="L136:L143" si="151">K136/K$12</f>
        <v>0</v>
      </c>
      <c r="M136" s="26"/>
      <c r="N136" s="49">
        <f t="shared" ref="N136:N143" si="152">M136/M$12</f>
        <v>0</v>
      </c>
      <c r="O136" s="26"/>
      <c r="P136" s="49">
        <f t="shared" ref="P136:P143" si="153">O136/O$12</f>
        <v>0</v>
      </c>
      <c r="Q136" s="45"/>
      <c r="R136" s="49">
        <f t="shared" ref="R136:R143" si="154">Q136/Q$12</f>
        <v>0</v>
      </c>
      <c r="S136" s="45"/>
      <c r="T136" s="49">
        <f t="shared" ref="T136:T146" si="155">S136/S$12</f>
        <v>0</v>
      </c>
      <c r="U136" s="45"/>
      <c r="V136" s="49">
        <f t="shared" ref="V136:V143" si="156">U136/U$12</f>
        <v>0</v>
      </c>
      <c r="W136" s="45"/>
      <c r="X136" s="49">
        <f t="shared" ref="X136:X143" si="157">W136/W$12</f>
        <v>0</v>
      </c>
      <c r="Y136" s="45"/>
      <c r="Z136" s="49">
        <f t="shared" ref="Z136:Z146" si="158">Y136/Y$12</f>
        <v>0</v>
      </c>
      <c r="AA136" s="105">
        <f t="shared" ref="AA136:AA143" si="159">C136+E136+G136+I136+K136+M136+O136+Q136+S136+U136+W136+Y136</f>
        <v>0</v>
      </c>
      <c r="AB136" s="108">
        <f t="shared" ref="AB136:AB146" si="160">AA136/AA$12</f>
        <v>0</v>
      </c>
      <c r="AC136" s="124">
        <f t="shared" ref="AC136:AC143" si="161">AA136/12</f>
        <v>0</v>
      </c>
      <c r="AD136" s="92">
        <f t="shared" ref="AD136:AD146" si="162">AC136/AC$12</f>
        <v>0</v>
      </c>
      <c r="AE136" s="214"/>
      <c r="AF136" s="54"/>
      <c r="AI136" s="269"/>
      <c r="AJ136" s="260">
        <f t="shared" si="117"/>
        <v>0</v>
      </c>
      <c r="AK136" s="268"/>
      <c r="AL136" s="54"/>
    </row>
    <row r="137" spans="1:38" s="1" customFormat="1" ht="15" customHeight="1">
      <c r="A137" s="2">
        <v>6502</v>
      </c>
      <c r="B137" s="147" t="s">
        <v>127</v>
      </c>
      <c r="C137" s="178">
        <v>12900.26</v>
      </c>
      <c r="D137" s="49">
        <f t="shared" si="147"/>
        <v>6.2680128856086412E-2</v>
      </c>
      <c r="E137" s="178">
        <v>12900.26</v>
      </c>
      <c r="F137" s="49">
        <f t="shared" si="148"/>
        <v>8.0565520332524621E-2</v>
      </c>
      <c r="G137" s="302">
        <v>12900.26</v>
      </c>
      <c r="H137" s="49">
        <f t="shared" si="149"/>
        <v>4.8569211802744511E-2</v>
      </c>
      <c r="I137" s="178">
        <v>12900.26</v>
      </c>
      <c r="J137" s="49">
        <f t="shared" si="150"/>
        <v>5.5005127062994909E-2</v>
      </c>
      <c r="K137" s="178">
        <v>12900.26</v>
      </c>
      <c r="L137" s="49">
        <f t="shared" si="151"/>
        <v>6.0141061170531508E-2</v>
      </c>
      <c r="M137" s="178">
        <v>12900.26</v>
      </c>
      <c r="N137" s="49">
        <f t="shared" si="152"/>
        <v>4.2413010146705982E-2</v>
      </c>
      <c r="O137" s="178">
        <v>12900.26</v>
      </c>
      <c r="P137" s="49">
        <f t="shared" si="153"/>
        <v>6.6991478949646521E-2</v>
      </c>
      <c r="Q137" s="178">
        <v>12900.26</v>
      </c>
      <c r="R137" s="49">
        <f t="shared" si="154"/>
        <v>5.3949724415653787E-2</v>
      </c>
      <c r="S137" s="178">
        <v>12900.26</v>
      </c>
      <c r="T137" s="49">
        <f t="shared" si="155"/>
        <v>5.3554530763740948E-2</v>
      </c>
      <c r="U137" s="178">
        <v>12891.53</v>
      </c>
      <c r="V137" s="49">
        <f t="shared" si="156"/>
        <v>6.7470812206246067E-2</v>
      </c>
      <c r="W137" s="178">
        <v>12891.53</v>
      </c>
      <c r="X137" s="49">
        <f t="shared" si="157"/>
        <v>6.6314191294456495E-2</v>
      </c>
      <c r="Y137" s="178">
        <v>12891.53</v>
      </c>
      <c r="Z137" s="49">
        <f t="shared" si="158"/>
        <v>4.3897394802732845E-2</v>
      </c>
      <c r="AA137" s="105">
        <f t="shared" si="159"/>
        <v>154776.93</v>
      </c>
      <c r="AB137" s="108">
        <f t="shared" si="160"/>
        <v>5.6561615115709445E-2</v>
      </c>
      <c r="AC137" s="124">
        <f>AA137/12</f>
        <v>12898.077499999999</v>
      </c>
      <c r="AD137" s="92">
        <f t="shared" si="162"/>
        <v>5.6561615115709445E-2</v>
      </c>
      <c r="AE137" s="214" t="s">
        <v>148</v>
      </c>
      <c r="AF137" s="54"/>
      <c r="AG137" s="1" t="s">
        <v>148</v>
      </c>
      <c r="AI137" s="269"/>
      <c r="AJ137" s="260">
        <f t="shared" si="117"/>
        <v>787814.57369999983</v>
      </c>
      <c r="AK137" s="268"/>
      <c r="AL137" s="54"/>
    </row>
    <row r="138" spans="1:38" s="1" customFormat="1" ht="15" customHeight="1">
      <c r="A138" s="2">
        <v>6503</v>
      </c>
      <c r="B138" s="147" t="s">
        <v>128</v>
      </c>
      <c r="C138" s="178">
        <v>863.56</v>
      </c>
      <c r="D138" s="49">
        <f t="shared" si="147"/>
        <v>4.1958884607722615E-3</v>
      </c>
      <c r="E138" s="178">
        <v>863.58</v>
      </c>
      <c r="F138" s="49">
        <f t="shared" si="148"/>
        <v>5.3932844802168029E-3</v>
      </c>
      <c r="G138" s="289">
        <v>863.57</v>
      </c>
      <c r="H138" s="49">
        <f t="shared" si="149"/>
        <v>3.2513231699590616E-3</v>
      </c>
      <c r="I138" s="178">
        <v>863.58</v>
      </c>
      <c r="J138" s="49">
        <f t="shared" si="150"/>
        <v>3.6821992447486442E-3</v>
      </c>
      <c r="K138" s="178">
        <v>863.57</v>
      </c>
      <c r="L138" s="49">
        <f t="shared" si="151"/>
        <v>4.0259666235437034E-3</v>
      </c>
      <c r="M138" s="178">
        <v>863.56</v>
      </c>
      <c r="N138" s="49">
        <f t="shared" si="152"/>
        <v>2.8391814616363868E-3</v>
      </c>
      <c r="O138" s="178">
        <v>863.57</v>
      </c>
      <c r="P138" s="49">
        <f t="shared" si="153"/>
        <v>4.4845477127241039E-3</v>
      </c>
      <c r="Q138" s="178"/>
      <c r="R138" s="49">
        <f t="shared" si="154"/>
        <v>0</v>
      </c>
      <c r="S138" s="178"/>
      <c r="T138" s="49">
        <f t="shared" si="155"/>
        <v>0</v>
      </c>
      <c r="U138" s="178"/>
      <c r="V138" s="49">
        <f t="shared" si="156"/>
        <v>0</v>
      </c>
      <c r="W138" s="178"/>
      <c r="X138" s="49">
        <f t="shared" si="157"/>
        <v>0</v>
      </c>
      <c r="Y138" s="178"/>
      <c r="Z138" s="49">
        <f t="shared" si="158"/>
        <v>0</v>
      </c>
      <c r="AA138" s="105">
        <f t="shared" si="159"/>
        <v>6044.99</v>
      </c>
      <c r="AB138" s="108">
        <f t="shared" si="160"/>
        <v>2.2090785607280909E-3</v>
      </c>
      <c r="AC138" s="124">
        <f t="shared" si="161"/>
        <v>503.74916666666667</v>
      </c>
      <c r="AD138" s="92">
        <f t="shared" si="162"/>
        <v>2.2090785607280909E-3</v>
      </c>
      <c r="AE138" s="214" t="s">
        <v>148</v>
      </c>
      <c r="AF138" s="54"/>
      <c r="AG138" s="1" t="s">
        <v>148</v>
      </c>
      <c r="AI138" s="269"/>
      <c r="AJ138" s="260">
        <f t="shared" si="117"/>
        <v>30768.999099999997</v>
      </c>
      <c r="AK138" s="268"/>
      <c r="AL138" s="54"/>
    </row>
    <row r="139" spans="1:38" s="1" customFormat="1" ht="15" customHeight="1">
      <c r="A139" s="2">
        <v>6504</v>
      </c>
      <c r="B139" s="147" t="s">
        <v>129</v>
      </c>
      <c r="C139" s="178"/>
      <c r="D139" s="49">
        <f t="shared" si="147"/>
        <v>0</v>
      </c>
      <c r="E139" s="178"/>
      <c r="F139" s="49">
        <f t="shared" si="148"/>
        <v>0</v>
      </c>
      <c r="G139" s="178"/>
      <c r="H139" s="49">
        <f t="shared" si="149"/>
        <v>0</v>
      </c>
      <c r="I139" s="178"/>
      <c r="J139" s="49">
        <f t="shared" si="150"/>
        <v>0</v>
      </c>
      <c r="K139" s="178"/>
      <c r="L139" s="49">
        <f t="shared" si="151"/>
        <v>0</v>
      </c>
      <c r="M139" s="178"/>
      <c r="N139" s="49">
        <f t="shared" si="152"/>
        <v>0</v>
      </c>
      <c r="O139" s="178"/>
      <c r="P139" s="49">
        <f t="shared" si="153"/>
        <v>0</v>
      </c>
      <c r="Q139" s="178"/>
      <c r="R139" s="49">
        <f t="shared" si="154"/>
        <v>0</v>
      </c>
      <c r="S139" s="178"/>
      <c r="T139" s="49">
        <f t="shared" si="155"/>
        <v>0</v>
      </c>
      <c r="U139" s="178"/>
      <c r="V139" s="49">
        <f t="shared" si="156"/>
        <v>0</v>
      </c>
      <c r="W139" s="178"/>
      <c r="X139" s="49">
        <f t="shared" si="157"/>
        <v>0</v>
      </c>
      <c r="Y139" s="178"/>
      <c r="Z139" s="49">
        <f t="shared" si="158"/>
        <v>0</v>
      </c>
      <c r="AA139" s="105">
        <f t="shared" si="159"/>
        <v>0</v>
      </c>
      <c r="AB139" s="108">
        <f t="shared" si="160"/>
        <v>0</v>
      </c>
      <c r="AC139" s="89">
        <f t="shared" si="161"/>
        <v>0</v>
      </c>
      <c r="AD139" s="92">
        <f t="shared" si="162"/>
        <v>0</v>
      </c>
      <c r="AE139" s="214" t="s">
        <v>148</v>
      </c>
      <c r="AF139" s="54"/>
      <c r="AG139" s="1" t="s">
        <v>148</v>
      </c>
      <c r="AI139" s="269"/>
      <c r="AJ139" s="260">
        <f t="shared" si="117"/>
        <v>0</v>
      </c>
      <c r="AK139" s="268"/>
      <c r="AL139" s="54"/>
    </row>
    <row r="140" spans="1:38" s="1" customFormat="1" ht="15" customHeight="1">
      <c r="A140" s="2">
        <v>6505</v>
      </c>
      <c r="B140" s="2" t="s">
        <v>130</v>
      </c>
      <c r="C140" s="145"/>
      <c r="D140" s="49">
        <f t="shared" si="147"/>
        <v>0</v>
      </c>
      <c r="E140" s="145"/>
      <c r="F140" s="49">
        <f t="shared" si="148"/>
        <v>0</v>
      </c>
      <c r="G140" s="145"/>
      <c r="H140" s="49">
        <f t="shared" si="149"/>
        <v>0</v>
      </c>
      <c r="I140" s="145"/>
      <c r="J140" s="49">
        <f t="shared" si="150"/>
        <v>0</v>
      </c>
      <c r="K140" s="145"/>
      <c r="L140" s="49">
        <f t="shared" si="151"/>
        <v>0</v>
      </c>
      <c r="M140" s="145"/>
      <c r="N140" s="49">
        <f t="shared" si="152"/>
        <v>0</v>
      </c>
      <c r="O140" s="145"/>
      <c r="P140" s="49">
        <f t="shared" si="153"/>
        <v>0</v>
      </c>
      <c r="Q140" s="145"/>
      <c r="R140" s="49">
        <f t="shared" si="154"/>
        <v>0</v>
      </c>
      <c r="S140" s="145"/>
      <c r="T140" s="49">
        <f t="shared" si="155"/>
        <v>0</v>
      </c>
      <c r="U140" s="47"/>
      <c r="V140" s="49">
        <f t="shared" si="156"/>
        <v>0</v>
      </c>
      <c r="W140" s="145"/>
      <c r="X140" s="49">
        <f t="shared" si="157"/>
        <v>0</v>
      </c>
      <c r="Y140" s="145"/>
      <c r="Z140" s="49">
        <f t="shared" si="158"/>
        <v>0</v>
      </c>
      <c r="AA140" s="105">
        <f t="shared" si="159"/>
        <v>0</v>
      </c>
      <c r="AB140" s="108">
        <f t="shared" si="160"/>
        <v>0</v>
      </c>
      <c r="AC140" s="89">
        <f t="shared" si="161"/>
        <v>0</v>
      </c>
      <c r="AD140" s="92">
        <f t="shared" si="162"/>
        <v>0</v>
      </c>
      <c r="AE140" s="214"/>
      <c r="AF140" s="54"/>
      <c r="AI140" s="269"/>
      <c r="AJ140" s="260">
        <f t="shared" si="117"/>
        <v>0</v>
      </c>
      <c r="AK140" s="268"/>
      <c r="AL140" s="54"/>
    </row>
    <row r="141" spans="1:38" s="1" customFormat="1">
      <c r="A141" s="2">
        <v>6506</v>
      </c>
      <c r="B141" s="2" t="s">
        <v>202</v>
      </c>
      <c r="C141" s="27">
        <v>0</v>
      </c>
      <c r="D141" s="278">
        <f>C141/C12</f>
        <v>0</v>
      </c>
      <c r="E141" s="27">
        <v>0</v>
      </c>
      <c r="F141" s="278">
        <f>E141/E12</f>
        <v>0</v>
      </c>
      <c r="G141" s="27">
        <v>0</v>
      </c>
      <c r="H141" s="278">
        <f>G141/G12</f>
        <v>0</v>
      </c>
      <c r="I141" s="27">
        <v>0</v>
      </c>
      <c r="J141" s="278">
        <f>I141/I12</f>
        <v>0</v>
      </c>
      <c r="K141" s="27">
        <v>0</v>
      </c>
      <c r="L141" s="278">
        <f>K141/K12</f>
        <v>0</v>
      </c>
      <c r="M141" s="27">
        <v>0</v>
      </c>
      <c r="N141" s="278">
        <f>M141/M12</f>
        <v>0</v>
      </c>
      <c r="O141" s="27">
        <v>0</v>
      </c>
      <c r="P141" s="278">
        <f>O141/O12</f>
        <v>0</v>
      </c>
      <c r="Q141" s="27">
        <v>0</v>
      </c>
      <c r="R141" s="278">
        <f>Q141/Q12</f>
        <v>0</v>
      </c>
      <c r="S141" s="27">
        <v>0</v>
      </c>
      <c r="T141" s="278">
        <f>S141/S12</f>
        <v>0</v>
      </c>
      <c r="U141" s="27">
        <v>0</v>
      </c>
      <c r="V141" s="278">
        <f>U141/U12</f>
        <v>0</v>
      </c>
      <c r="W141" s="27">
        <v>0</v>
      </c>
      <c r="X141" s="278">
        <f>W141/W12</f>
        <v>0</v>
      </c>
      <c r="Y141" s="27">
        <v>0</v>
      </c>
      <c r="Z141" s="278">
        <f>Y141/Y12</f>
        <v>0</v>
      </c>
      <c r="AA141" s="105">
        <f t="shared" si="159"/>
        <v>0</v>
      </c>
      <c r="AB141" s="108">
        <f t="shared" si="160"/>
        <v>0</v>
      </c>
      <c r="AC141" s="89">
        <f t="shared" si="161"/>
        <v>0</v>
      </c>
      <c r="AD141" s="92">
        <f t="shared" si="162"/>
        <v>0</v>
      </c>
      <c r="AF141" s="64"/>
      <c r="AI141" s="269"/>
      <c r="AJ141" s="260">
        <f t="shared" si="117"/>
        <v>0</v>
      </c>
      <c r="AK141" s="268"/>
      <c r="AL141" s="279"/>
    </row>
    <row r="142" spans="1:38" s="1" customFormat="1" ht="15" customHeight="1">
      <c r="A142" s="128">
        <v>6604</v>
      </c>
      <c r="B142" s="2" t="s">
        <v>136</v>
      </c>
      <c r="C142" s="46"/>
      <c r="D142" s="49">
        <f t="shared" ref="D142" si="163">C142/C$12</f>
        <v>0</v>
      </c>
      <c r="E142" s="46"/>
      <c r="F142" s="49">
        <f t="shared" ref="F142" si="164">E142/E$12</f>
        <v>0</v>
      </c>
      <c r="G142" s="46"/>
      <c r="H142" s="49">
        <f t="shared" ref="H142" si="165">G142/G$12</f>
        <v>0</v>
      </c>
      <c r="I142" s="46"/>
      <c r="J142" s="49">
        <f t="shared" ref="J142" si="166">I142/I$12</f>
        <v>0</v>
      </c>
      <c r="K142" s="46"/>
      <c r="L142" s="49">
        <f t="shared" ref="L142" si="167">K142/K$12</f>
        <v>0</v>
      </c>
      <c r="M142" s="46"/>
      <c r="N142" s="49">
        <f t="shared" ref="N142" si="168">M142/M$12</f>
        <v>0</v>
      </c>
      <c r="O142" s="46"/>
      <c r="P142" s="49">
        <f t="shared" ref="P142" si="169">O142/O$12</f>
        <v>0</v>
      </c>
      <c r="Q142" s="46"/>
      <c r="R142" s="49">
        <f t="shared" ref="R142" si="170">Q142/Q$12</f>
        <v>0</v>
      </c>
      <c r="S142" s="46"/>
      <c r="T142" s="49">
        <f t="shared" ref="T142" si="171">S142/S$12</f>
        <v>0</v>
      </c>
      <c r="U142" s="46"/>
      <c r="V142" s="49">
        <f t="shared" ref="V142" si="172">U142/U$12</f>
        <v>0</v>
      </c>
      <c r="W142" s="46"/>
      <c r="X142" s="49">
        <f t="shared" ref="X142" si="173">W142/W$12</f>
        <v>0</v>
      </c>
      <c r="Y142" s="46"/>
      <c r="Z142" s="49">
        <f t="shared" ref="Z142" si="174">Y142/Y$12</f>
        <v>0</v>
      </c>
      <c r="AA142" s="105">
        <f t="shared" si="159"/>
        <v>0</v>
      </c>
      <c r="AB142" s="108">
        <f t="shared" si="160"/>
        <v>0</v>
      </c>
      <c r="AC142" s="89">
        <f t="shared" si="161"/>
        <v>0</v>
      </c>
      <c r="AD142" s="92">
        <f t="shared" si="162"/>
        <v>0</v>
      </c>
      <c r="AE142" s="214"/>
      <c r="AF142" s="54"/>
      <c r="AI142" s="269"/>
      <c r="AJ142" s="260">
        <f t="shared" si="117"/>
        <v>0</v>
      </c>
      <c r="AK142" s="268"/>
      <c r="AL142" s="54"/>
    </row>
    <row r="143" spans="1:38" s="1" customFormat="1" ht="15" customHeight="1">
      <c r="A143" s="2"/>
      <c r="B143" s="2"/>
      <c r="C143" s="46"/>
      <c r="D143" s="49">
        <f t="shared" si="147"/>
        <v>0</v>
      </c>
      <c r="E143" s="46"/>
      <c r="F143" s="49">
        <f t="shared" si="148"/>
        <v>0</v>
      </c>
      <c r="G143" s="46"/>
      <c r="H143" s="49">
        <f t="shared" si="149"/>
        <v>0</v>
      </c>
      <c r="I143" s="46"/>
      <c r="J143" s="49">
        <f t="shared" si="150"/>
        <v>0</v>
      </c>
      <c r="K143" s="21"/>
      <c r="L143" s="49">
        <f t="shared" si="151"/>
        <v>0</v>
      </c>
      <c r="M143" s="21"/>
      <c r="N143" s="49">
        <f t="shared" si="152"/>
        <v>0</v>
      </c>
      <c r="O143" s="21"/>
      <c r="P143" s="49">
        <f t="shared" si="153"/>
        <v>0</v>
      </c>
      <c r="Q143" s="37"/>
      <c r="R143" s="49">
        <f t="shared" si="154"/>
        <v>0</v>
      </c>
      <c r="S143" s="37"/>
      <c r="T143" s="49">
        <f t="shared" si="155"/>
        <v>0</v>
      </c>
      <c r="U143" s="37"/>
      <c r="V143" s="49">
        <f t="shared" si="156"/>
        <v>0</v>
      </c>
      <c r="W143" s="37"/>
      <c r="X143" s="49">
        <f t="shared" si="157"/>
        <v>0</v>
      </c>
      <c r="Y143" s="131"/>
      <c r="Z143" s="132">
        <f t="shared" si="158"/>
        <v>0</v>
      </c>
      <c r="AA143" s="105">
        <f t="shared" si="159"/>
        <v>0</v>
      </c>
      <c r="AB143" s="108">
        <f t="shared" si="160"/>
        <v>0</v>
      </c>
      <c r="AC143" s="89">
        <f t="shared" si="161"/>
        <v>0</v>
      </c>
      <c r="AD143" s="92">
        <f t="shared" si="162"/>
        <v>0</v>
      </c>
      <c r="AE143" s="214"/>
      <c r="AF143" s="54"/>
      <c r="AI143" s="269"/>
      <c r="AJ143" s="260">
        <f t="shared" si="117"/>
        <v>0</v>
      </c>
      <c r="AK143" s="268"/>
      <c r="AL143" s="54"/>
    </row>
    <row r="144" spans="1:38" s="1" customFormat="1" ht="15" customHeight="1">
      <c r="A144" s="48">
        <v>6798</v>
      </c>
      <c r="B144" s="48" t="s">
        <v>188</v>
      </c>
      <c r="C144" s="59">
        <f>SUM(C136:C143)</f>
        <v>13763.82</v>
      </c>
      <c r="D144" s="69">
        <f>C144/C12</f>
        <v>6.6876017316858674E-2</v>
      </c>
      <c r="E144" s="59">
        <f>SUM(E136:E143)</f>
        <v>13763.84</v>
      </c>
      <c r="F144" s="69">
        <f>E144/E12</f>
        <v>8.5958804812741416E-2</v>
      </c>
      <c r="G144" s="59">
        <f>SUM(G136:G143)</f>
        <v>13763.83</v>
      </c>
      <c r="H144" s="69">
        <f>G144/G12</f>
        <v>5.1820534972703572E-2</v>
      </c>
      <c r="I144" s="59">
        <f>SUM(I136:I143)</f>
        <v>13763.84</v>
      </c>
      <c r="J144" s="69">
        <f>I144/I12</f>
        <v>5.8687326307743551E-2</v>
      </c>
      <c r="K144" s="59">
        <f>SUM(K136:K143)</f>
        <v>13763.83</v>
      </c>
      <c r="L144" s="69">
        <f>K144/K12</f>
        <v>6.416702779407521E-2</v>
      </c>
      <c r="M144" s="59">
        <f>SUM(M136:M143)</f>
        <v>13763.82</v>
      </c>
      <c r="N144" s="69">
        <f>M144/M12</f>
        <v>4.5252191608342367E-2</v>
      </c>
      <c r="O144" s="59">
        <f>SUM(O136:O143)</f>
        <v>13763.83</v>
      </c>
      <c r="P144" s="69">
        <f>O144/O12</f>
        <v>7.1476026662370615E-2</v>
      </c>
      <c r="Q144" s="59">
        <f>SUM(Q136:Q143)</f>
        <v>12900.26</v>
      </c>
      <c r="R144" s="69">
        <f>Q144/Q12</f>
        <v>5.3949724415653787E-2</v>
      </c>
      <c r="S144" s="59">
        <f>SUM(S136:S143)</f>
        <v>12900.26</v>
      </c>
      <c r="T144" s="69">
        <f t="shared" si="155"/>
        <v>5.3554530763740948E-2</v>
      </c>
      <c r="U144" s="59">
        <f>SUM(U136:U143)</f>
        <v>12891.53</v>
      </c>
      <c r="V144" s="69">
        <f>U144/U12</f>
        <v>6.7470812206246067E-2</v>
      </c>
      <c r="W144" s="59">
        <f>SUM(W136:W143)</f>
        <v>12891.53</v>
      </c>
      <c r="X144" s="69">
        <f>W144/W12</f>
        <v>6.6314191294456495E-2</v>
      </c>
      <c r="Y144" s="59">
        <f>SUM(Y136:Y143)</f>
        <v>12891.53</v>
      </c>
      <c r="Z144" s="69">
        <f t="shared" si="158"/>
        <v>4.3897394802732845E-2</v>
      </c>
      <c r="AA144" s="114">
        <f>SUM(AA136:AA143)</f>
        <v>160821.91999999998</v>
      </c>
      <c r="AB144" s="115">
        <f t="shared" si="160"/>
        <v>5.877069367643753E-2</v>
      </c>
      <c r="AC144" s="98">
        <f>SUM(AC136:AC143)</f>
        <v>13401.826666666666</v>
      </c>
      <c r="AD144" s="99">
        <f t="shared" si="162"/>
        <v>5.8770693676437537E-2</v>
      </c>
      <c r="AE144" s="215"/>
      <c r="AF144" s="54"/>
      <c r="AI144" s="269"/>
      <c r="AJ144" s="260">
        <f t="shared" si="117"/>
        <v>818583.57279999997</v>
      </c>
      <c r="AK144" s="268"/>
      <c r="AL144" s="54"/>
    </row>
    <row r="145" spans="1:38" s="1" customFormat="1">
      <c r="A145" s="48">
        <v>6799</v>
      </c>
      <c r="B145" s="48" t="s">
        <v>126</v>
      </c>
      <c r="C145" s="23">
        <f>C41+C76+C93+C115+C129+C144+C133</f>
        <v>98221.253235460987</v>
      </c>
      <c r="D145" s="69">
        <f>C145/C12</f>
        <v>0.47724005634033645</v>
      </c>
      <c r="E145" s="23">
        <f>E41+E76+E93+E115+E129+E144+E133</f>
        <v>101047.22696265113</v>
      </c>
      <c r="F145" s="69">
        <f>E145/E12</f>
        <v>0.63106653807013957</v>
      </c>
      <c r="G145" s="23">
        <f>G41+G76+G93+G115+G129+G144+G133</f>
        <v>100316.95354549233</v>
      </c>
      <c r="H145" s="69">
        <f>G145/G12</f>
        <v>0.37769125305669027</v>
      </c>
      <c r="I145" s="23">
        <f>I41+I76+I93+I115+I129+I144+I133</f>
        <v>103426.56531115783</v>
      </c>
      <c r="J145" s="69">
        <f>I145/I12</f>
        <v>0.44099819434874782</v>
      </c>
      <c r="K145" s="23">
        <f>K41+K76+K93+K115+K129+K144+K133</f>
        <v>103771.45422302089</v>
      </c>
      <c r="L145" s="69">
        <f>K145/K12</f>
        <v>0.48378291415690144</v>
      </c>
      <c r="M145" s="23">
        <f>M41+M76+M93+M115+M129+M144+M133</f>
        <v>103104.85103896237</v>
      </c>
      <c r="N145" s="69">
        <f>M145/M12</f>
        <v>0.33898441529784051</v>
      </c>
      <c r="O145" s="23">
        <f>O41+O76+O93+O115+O129+O144+O133</f>
        <v>103751.43813974067</v>
      </c>
      <c r="P145" s="69">
        <f>O145/O12</f>
        <v>0.53878466667601965</v>
      </c>
      <c r="Q145" s="43">
        <f>Q41+Q76+Q93+Q115+Q129+Q144+Q133</f>
        <v>110638.98349268539</v>
      </c>
      <c r="R145" s="69">
        <f>Q145/Q12</f>
        <v>0.46269940831102985</v>
      </c>
      <c r="S145" s="43">
        <f>S41+S76+S93+S115+S129+S144+S133</f>
        <v>106725.89811703464</v>
      </c>
      <c r="T145" s="69">
        <f t="shared" si="155"/>
        <v>0.44306513155522553</v>
      </c>
      <c r="U145" s="43">
        <f>U41+U76+U93+U115+U129+U144+U133</f>
        <v>105351.21708503786</v>
      </c>
      <c r="V145" s="69">
        <f>U145/U12</f>
        <v>0.55138002887508708</v>
      </c>
      <c r="W145" s="43">
        <f>W41+W76+W93+W115+W129+W144+W133</f>
        <v>102767.53432629564</v>
      </c>
      <c r="X145" s="69">
        <f>W145/W12</f>
        <v>0.52863747981609577</v>
      </c>
      <c r="Y145" s="43">
        <f>Y41+Y76+Y93+Y115+Y129+Y144+Y133</f>
        <v>103728.53518547957</v>
      </c>
      <c r="Z145" s="69">
        <f t="shared" si="158"/>
        <v>0.3532096237875692</v>
      </c>
      <c r="AA145" s="43">
        <f>AA41+AA76+AA93+AA115+AA129+AA144+AA133</f>
        <v>1242851.9106630192</v>
      </c>
      <c r="AB145" s="115">
        <f t="shared" si="160"/>
        <v>0.45418727078218823</v>
      </c>
      <c r="AC145" s="43">
        <f>AC41+AC76+AC93+AC115+AC129+AC144+AC133</f>
        <v>103570.99255525159</v>
      </c>
      <c r="AD145" s="99">
        <f t="shared" si="162"/>
        <v>0.45418727078218823</v>
      </c>
      <c r="AE145" s="215"/>
      <c r="AF145" s="54"/>
      <c r="AI145" s="269"/>
      <c r="AJ145" s="260">
        <f t="shared" si="117"/>
        <v>6326116.2252747677</v>
      </c>
      <c r="AK145" s="268"/>
      <c r="AL145" s="54"/>
    </row>
    <row r="146" spans="1:38" s="1" customFormat="1" ht="15.75" thickBot="1">
      <c r="A146" s="11">
        <v>6999</v>
      </c>
      <c r="B146" s="11" t="s">
        <v>135</v>
      </c>
      <c r="C146" s="24">
        <f>C135-C144</f>
        <v>1508.8250645390108</v>
      </c>
      <c r="D146" s="70">
        <f>C146/C12</f>
        <v>7.3311196415109534E-3</v>
      </c>
      <c r="E146" s="24">
        <f>E135-E144</f>
        <v>-23794.56564721854</v>
      </c>
      <c r="F146" s="70">
        <f>E146/E12</f>
        <v>-0.14860332756507055</v>
      </c>
      <c r="G146" s="24">
        <f>G135-G144</f>
        <v>16665.164700629379</v>
      </c>
      <c r="H146" s="70">
        <f>G146/G12</f>
        <v>6.2744000049029219E-2</v>
      </c>
      <c r="I146" s="24">
        <f>I135-I144</f>
        <v>6792.4617260366249</v>
      </c>
      <c r="J146" s="70">
        <f>I146/I12</f>
        <v>2.89622240413119E-2</v>
      </c>
      <c r="K146" s="24">
        <f>K135-K144</f>
        <v>12552.067255717144</v>
      </c>
      <c r="L146" s="70">
        <f>K146/K12</f>
        <v>5.8517785272754995E-2</v>
      </c>
      <c r="M146" s="24">
        <f>M135-M144</f>
        <v>34741.672710591927</v>
      </c>
      <c r="N146" s="70">
        <f>M146/M12</f>
        <v>0.11422242010532142</v>
      </c>
      <c r="O146" s="24">
        <f>O135-O144</f>
        <v>-12933.408779162481</v>
      </c>
      <c r="P146" s="70">
        <f>O146/O12</f>
        <v>-6.7163621661612771E-2</v>
      </c>
      <c r="Q146" s="44">
        <f>Q135-Q144</f>
        <v>-11101.386340854344</v>
      </c>
      <c r="R146" s="70">
        <f>Q146/Q12</f>
        <v>-4.6426718044504149E-2</v>
      </c>
      <c r="S146" s="60">
        <f>S135-S144</f>
        <v>17635.404641212292</v>
      </c>
      <c r="T146" s="70">
        <f t="shared" si="155"/>
        <v>7.3212153893706292E-2</v>
      </c>
      <c r="U146" s="44">
        <f>U135-U144</f>
        <v>-5763.5906958740925</v>
      </c>
      <c r="V146" s="70">
        <f>U146/U12</f>
        <v>-3.0165088664804565E-2</v>
      </c>
      <c r="W146" s="44">
        <f>W135-W144</f>
        <v>-98.965873512981489</v>
      </c>
      <c r="X146" s="70">
        <f>W146/W12</f>
        <v>-5.0908168912168212E-4</v>
      </c>
      <c r="Y146" s="44">
        <f>Y135-Y144</f>
        <v>38289.119661579338</v>
      </c>
      <c r="Z146" s="70">
        <f t="shared" si="158"/>
        <v>0.1303796060229801</v>
      </c>
      <c r="AA146" s="109">
        <f>AA135-AA144</f>
        <v>74492.798423683591</v>
      </c>
      <c r="AB146" s="110">
        <f t="shared" si="160"/>
        <v>2.7222616402409059E-2</v>
      </c>
      <c r="AC146" s="93">
        <f>AC135-AC144</f>
        <v>6207.7332019736114</v>
      </c>
      <c r="AD146" s="94">
        <f t="shared" si="162"/>
        <v>2.7222616402408965E-2</v>
      </c>
      <c r="AE146" s="218"/>
      <c r="AF146" s="219"/>
      <c r="AG146" s="209"/>
      <c r="AI146" s="269"/>
      <c r="AJ146" s="260">
        <f t="shared" si="117"/>
        <v>379168.34397654788</v>
      </c>
      <c r="AK146" s="268"/>
      <c r="AL146" s="54"/>
    </row>
    <row r="147" spans="1:38" s="1" customFormat="1" ht="15.75" thickTop="1">
      <c r="C147" s="27"/>
      <c r="D147" s="18"/>
      <c r="E147" s="27"/>
      <c r="F147" s="77"/>
      <c r="G147" s="27"/>
      <c r="H147" s="77"/>
      <c r="I147" s="27"/>
      <c r="J147" s="77"/>
      <c r="K147" s="27"/>
      <c r="L147" s="77"/>
      <c r="M147" s="27"/>
      <c r="N147" s="77"/>
      <c r="O147" s="27"/>
      <c r="P147" s="77"/>
      <c r="Q147" s="47"/>
      <c r="R147" s="77"/>
      <c r="S147" s="47"/>
      <c r="T147" s="77"/>
      <c r="U147" s="47"/>
      <c r="V147" s="77"/>
      <c r="W147" s="47"/>
      <c r="X147" s="77"/>
      <c r="Y147" s="47"/>
      <c r="Z147" s="77"/>
      <c r="AA147" s="106"/>
      <c r="AB147" s="107"/>
      <c r="AC147" s="90"/>
      <c r="AD147" s="91"/>
      <c r="AE147" s="213"/>
      <c r="AF147" s="54"/>
      <c r="AI147" s="269"/>
      <c r="AJ147" s="260">
        <f t="shared" si="117"/>
        <v>0</v>
      </c>
      <c r="AK147" s="268"/>
      <c r="AL147" s="54"/>
    </row>
    <row r="148" spans="1:38" s="1" customFormat="1" ht="15.75" thickBot="1">
      <c r="A148" s="140"/>
      <c r="B148" s="11" t="s">
        <v>192</v>
      </c>
      <c r="C148" s="24"/>
      <c r="D148" s="143">
        <f>C148/C12</f>
        <v>0</v>
      </c>
      <c r="E148" s="24"/>
      <c r="F148" s="143">
        <f>E148/E12</f>
        <v>0</v>
      </c>
      <c r="G148" s="24"/>
      <c r="H148" s="143">
        <f>G148/G12</f>
        <v>0</v>
      </c>
      <c r="I148" s="24"/>
      <c r="J148" s="143">
        <f>I148/I12</f>
        <v>0</v>
      </c>
      <c r="K148" s="24"/>
      <c r="L148" s="143">
        <f>K148/K12</f>
        <v>0</v>
      </c>
      <c r="M148" s="24"/>
      <c r="N148" s="143">
        <f>M148/M12</f>
        <v>0</v>
      </c>
      <c r="O148" s="192"/>
      <c r="P148" s="143">
        <f>O148/O12</f>
        <v>0</v>
      </c>
      <c r="Q148" s="193"/>
      <c r="R148" s="143">
        <f>Q148/Q12</f>
        <v>0</v>
      </c>
      <c r="S148" s="157"/>
      <c r="T148" s="143">
        <f>S148/S12</f>
        <v>0</v>
      </c>
      <c r="U148" s="157"/>
      <c r="V148" s="143">
        <f>U148/U12</f>
        <v>0</v>
      </c>
      <c r="W148" s="157"/>
      <c r="X148" s="143">
        <f>W148/W12</f>
        <v>0</v>
      </c>
      <c r="Y148" s="157"/>
      <c r="Z148" s="143">
        <f>Y148/Y12</f>
        <v>0</v>
      </c>
      <c r="AA148" s="157">
        <f>C148+E148+G148+I148+K148+M148+O148+Q148+S148+U148+W148+Y148</f>
        <v>0</v>
      </c>
      <c r="AB148" s="143">
        <f>AA148/AA12</f>
        <v>0</v>
      </c>
      <c r="AC148" s="157">
        <f>AA148/12</f>
        <v>0</v>
      </c>
      <c r="AD148" s="143">
        <f>AC148/AC12</f>
        <v>0</v>
      </c>
      <c r="AE148" s="226"/>
      <c r="AF148" s="219"/>
      <c r="AG148" s="209"/>
      <c r="AI148" s="269"/>
      <c r="AJ148" s="260">
        <f t="shared" si="117"/>
        <v>0</v>
      </c>
      <c r="AK148" s="268"/>
      <c r="AL148" s="54"/>
    </row>
    <row r="149" spans="1:38" s="1" customFormat="1" ht="15.75" thickTop="1">
      <c r="B149" s="66"/>
      <c r="C149" s="27"/>
      <c r="D149" s="19"/>
      <c r="E149" s="27"/>
      <c r="F149" s="78"/>
      <c r="G149" s="27"/>
      <c r="H149" s="78"/>
      <c r="I149" s="27"/>
      <c r="J149" s="78"/>
      <c r="K149" s="27"/>
      <c r="L149" s="78"/>
      <c r="M149" s="27"/>
      <c r="N149" s="78"/>
      <c r="O149" s="27"/>
      <c r="P149" s="78"/>
      <c r="R149" s="78"/>
      <c r="T149" s="78"/>
      <c r="V149" s="78"/>
      <c r="X149" s="78"/>
      <c r="Z149" s="78"/>
      <c r="AA149" s="103"/>
      <c r="AB149" s="104"/>
      <c r="AC149" s="87"/>
      <c r="AD149" s="88"/>
      <c r="AE149" s="160"/>
      <c r="AF149" s="54"/>
      <c r="AI149" s="269"/>
      <c r="AJ149" s="260">
        <f t="shared" si="117"/>
        <v>0</v>
      </c>
      <c r="AK149" s="268"/>
      <c r="AL149" s="54"/>
    </row>
    <row r="150" spans="1:38" s="1" customFormat="1" ht="15.75" customHeight="1" thickBot="1">
      <c r="A150" s="140"/>
      <c r="B150" s="282" t="s">
        <v>206</v>
      </c>
      <c r="C150" s="24"/>
      <c r="D150" s="281"/>
      <c r="E150" s="24"/>
      <c r="F150" s="143"/>
      <c r="G150" s="24"/>
      <c r="H150" s="143"/>
      <c r="I150" s="24"/>
      <c r="J150" s="143"/>
      <c r="K150" s="24"/>
      <c r="L150" s="143"/>
      <c r="M150" s="24"/>
      <c r="N150" s="143"/>
      <c r="O150" s="24"/>
      <c r="P150" s="143"/>
      <c r="Q150" s="140"/>
      <c r="R150" s="143"/>
      <c r="S150" s="140"/>
      <c r="T150" s="143"/>
      <c r="U150" s="140"/>
      <c r="V150" s="143"/>
      <c r="W150" s="140"/>
      <c r="X150" s="143"/>
      <c r="Y150" s="140"/>
      <c r="Z150" s="143"/>
      <c r="AA150" s="157">
        <f>C150+E150+G150+I150+K150+M150+O150+Q150+S150+U150+W150+Y150</f>
        <v>0</v>
      </c>
      <c r="AB150" s="143"/>
      <c r="AC150" s="157">
        <f>AA150/12</f>
        <v>0</v>
      </c>
      <c r="AD150" s="143"/>
      <c r="AE150" s="160"/>
      <c r="AF150" s="54"/>
      <c r="AI150" s="269"/>
      <c r="AJ150" s="260"/>
      <c r="AK150" s="268"/>
      <c r="AL150" s="54"/>
    </row>
    <row r="151" spans="1:38" s="1" customFormat="1" ht="15.75" thickTop="1">
      <c r="B151" s="66"/>
      <c r="C151" s="27"/>
      <c r="D151" s="19"/>
      <c r="E151" s="27"/>
      <c r="F151" s="78"/>
      <c r="G151" s="27"/>
      <c r="H151" s="78"/>
      <c r="I151" s="27"/>
      <c r="J151" s="78"/>
      <c r="K151" s="27"/>
      <c r="L151" s="78"/>
      <c r="M151" s="27"/>
      <c r="N151" s="78"/>
      <c r="O151" s="27"/>
      <c r="P151" s="78"/>
      <c r="R151" s="78"/>
      <c r="T151" s="78"/>
      <c r="V151" s="78"/>
      <c r="X151" s="78"/>
      <c r="Z151" s="78"/>
      <c r="AA151" s="103"/>
      <c r="AB151" s="104"/>
      <c r="AC151" s="87"/>
      <c r="AD151" s="88"/>
      <c r="AE151" s="160"/>
      <c r="AF151" s="54"/>
      <c r="AI151" s="269"/>
      <c r="AJ151" s="260"/>
      <c r="AK151" s="268"/>
      <c r="AL151" s="54"/>
    </row>
    <row r="152" spans="1:38" s="1" customFormat="1" ht="15.75" thickBot="1">
      <c r="A152" s="140"/>
      <c r="B152" s="148" t="s">
        <v>189</v>
      </c>
      <c r="C152" s="24">
        <f>C146-C148</f>
        <v>1508.8250645390108</v>
      </c>
      <c r="D152" s="143">
        <f>C152/C12</f>
        <v>7.3311196415109534E-3</v>
      </c>
      <c r="E152" s="24">
        <f>E146-E148</f>
        <v>-23794.56564721854</v>
      </c>
      <c r="F152" s="143">
        <f>E152/E12</f>
        <v>-0.14860332756507055</v>
      </c>
      <c r="G152" s="24">
        <f>G146-G148</f>
        <v>16665.164700629379</v>
      </c>
      <c r="H152" s="143">
        <f>G152/G12</f>
        <v>6.2744000049029219E-2</v>
      </c>
      <c r="I152" s="24">
        <f>I146-I148</f>
        <v>6792.4617260366249</v>
      </c>
      <c r="J152" s="143">
        <f>I152/I12</f>
        <v>2.89622240413119E-2</v>
      </c>
      <c r="K152" s="24">
        <f>K146-K148</f>
        <v>12552.067255717144</v>
      </c>
      <c r="L152" s="143">
        <f>K152/K12</f>
        <v>5.8517785272754995E-2</v>
      </c>
      <c r="M152" s="24">
        <f>M146-M148</f>
        <v>34741.672710591927</v>
      </c>
      <c r="N152" s="143">
        <f>M152/M12</f>
        <v>0.11422242010532142</v>
      </c>
      <c r="O152" s="24">
        <f>O146-O148</f>
        <v>-12933.408779162481</v>
      </c>
      <c r="P152" s="143">
        <f>O152/O12</f>
        <v>-6.7163621661612771E-2</v>
      </c>
      <c r="Q152" s="157">
        <f>Q146-Q148</f>
        <v>-11101.386340854344</v>
      </c>
      <c r="R152" s="143">
        <f>Q152/Q12</f>
        <v>-4.6426718044504149E-2</v>
      </c>
      <c r="S152" s="157">
        <f>S146-S148</f>
        <v>17635.404641212292</v>
      </c>
      <c r="T152" s="143">
        <f>S152/S12</f>
        <v>7.3212153893706292E-2</v>
      </c>
      <c r="U152" s="157">
        <f>U146-U148</f>
        <v>-5763.5906958740925</v>
      </c>
      <c r="V152" s="143">
        <f>U152/U12</f>
        <v>-3.0165088664804565E-2</v>
      </c>
      <c r="W152" s="156">
        <f>W146-W148</f>
        <v>-98.965873512981489</v>
      </c>
      <c r="X152" s="143">
        <f>W152/W12</f>
        <v>-5.0908168912168212E-4</v>
      </c>
      <c r="Y152" s="156">
        <f>Y146-Y148</f>
        <v>38289.119661579338</v>
      </c>
      <c r="Z152" s="143">
        <f>Y152/Y12</f>
        <v>0.1303796060229801</v>
      </c>
      <c r="AA152" s="156">
        <f>AA146-AA148</f>
        <v>74492.798423683591</v>
      </c>
      <c r="AB152" s="143">
        <f>AA152/AA12</f>
        <v>2.7222616402409059E-2</v>
      </c>
      <c r="AC152" s="156">
        <f>AC146-AC148</f>
        <v>6207.7332019736114</v>
      </c>
      <c r="AD152" s="143">
        <f>AC152/AC12</f>
        <v>2.7222616402408965E-2</v>
      </c>
      <c r="AE152" s="226"/>
      <c r="AF152" s="219"/>
      <c r="AG152" s="209"/>
      <c r="AI152" s="269"/>
      <c r="AJ152" s="260">
        <f t="shared" si="117"/>
        <v>379168.34397654788</v>
      </c>
      <c r="AK152" s="268"/>
      <c r="AL152" s="54"/>
    </row>
    <row r="153" spans="1:38" s="5" customFormat="1" ht="15.75" thickTop="1">
      <c r="A153" s="133"/>
      <c r="B153" s="297"/>
      <c r="C153" s="26"/>
      <c r="D153" s="75"/>
      <c r="E153" s="26"/>
      <c r="F153" s="75"/>
      <c r="G153" s="26"/>
      <c r="H153" s="75"/>
      <c r="I153" s="26"/>
      <c r="J153" s="75"/>
      <c r="K153" s="26"/>
      <c r="L153" s="75"/>
      <c r="M153" s="26"/>
      <c r="N153" s="75"/>
      <c r="O153" s="26"/>
      <c r="P153" s="75"/>
      <c r="Q153" s="168"/>
      <c r="R153" s="75"/>
      <c r="S153" s="168"/>
      <c r="T153" s="75"/>
      <c r="U153" s="168"/>
      <c r="V153" s="75"/>
      <c r="W153" s="260"/>
      <c r="X153" s="75"/>
      <c r="Y153" s="260"/>
      <c r="Z153" s="75"/>
      <c r="AA153" s="260"/>
      <c r="AB153" s="75"/>
      <c r="AC153" s="260"/>
      <c r="AD153" s="259"/>
      <c r="AE153" s="259"/>
      <c r="AF153" s="168"/>
      <c r="AG153" s="133"/>
      <c r="AI153" s="339"/>
      <c r="AJ153" s="260"/>
      <c r="AK153" s="340"/>
      <c r="AL153" s="54"/>
    </row>
    <row r="154" spans="1:38" s="1" customFormat="1">
      <c r="B154" s="180" t="s">
        <v>138</v>
      </c>
      <c r="C154" s="64">
        <f>C152</f>
        <v>1508.8250645390108</v>
      </c>
      <c r="D154" s="19"/>
      <c r="E154" s="64">
        <f>E152+C154</f>
        <v>-22285.740582679529</v>
      </c>
      <c r="F154" s="78"/>
      <c r="G154" s="64">
        <f>G152+E154</f>
        <v>-5620.5758820501505</v>
      </c>
      <c r="H154" s="78"/>
      <c r="I154" s="64">
        <f>I152+G154</f>
        <v>1171.8858439864744</v>
      </c>
      <c r="J154" s="78"/>
      <c r="K154" s="64">
        <f>K152+I154</f>
        <v>13723.953099703618</v>
      </c>
      <c r="L154" s="78"/>
      <c r="M154" s="64">
        <f>M152+K154</f>
        <v>48465.625810295547</v>
      </c>
      <c r="N154" s="78"/>
      <c r="O154" s="64">
        <f>O152+M154</f>
        <v>35532.21703113307</v>
      </c>
      <c r="P154" s="78"/>
      <c r="Q154" s="64">
        <f>Q152+O154</f>
        <v>24430.830690278726</v>
      </c>
      <c r="R154" s="78"/>
      <c r="S154" s="64">
        <f>S152+Q154</f>
        <v>42066.235331491014</v>
      </c>
      <c r="T154" s="78"/>
      <c r="U154" s="64">
        <f>U152+S154</f>
        <v>36302.644635616918</v>
      </c>
      <c r="V154" s="78"/>
      <c r="W154" s="64">
        <f>W152+U154</f>
        <v>36203.67876210394</v>
      </c>
      <c r="X154" s="78"/>
      <c r="Y154" s="64">
        <f>Y152+W154</f>
        <v>74492.798423683271</v>
      </c>
      <c r="Z154" s="78"/>
      <c r="AA154" s="103"/>
      <c r="AB154" s="104"/>
      <c r="AC154" s="87"/>
      <c r="AD154" s="160"/>
      <c r="AE154" s="160"/>
      <c r="AF154" s="64"/>
      <c r="AI154" s="269"/>
      <c r="AJ154" s="134"/>
      <c r="AK154" s="268"/>
      <c r="AL154" s="5"/>
    </row>
    <row r="155" spans="1:38" s="1" customFormat="1">
      <c r="B155" s="130"/>
      <c r="C155" s="64"/>
      <c r="D155" s="19"/>
      <c r="E155" s="64"/>
      <c r="F155" s="78"/>
      <c r="G155" s="64"/>
      <c r="H155" s="78"/>
      <c r="I155" s="64">
        <v>-43640.89</v>
      </c>
      <c r="J155" s="78"/>
      <c r="K155" s="27"/>
      <c r="L155" s="78"/>
      <c r="M155" s="27"/>
      <c r="N155" s="78"/>
      <c r="O155" s="27"/>
      <c r="P155" s="78"/>
      <c r="R155" s="78"/>
      <c r="T155" s="78"/>
      <c r="V155" s="78"/>
      <c r="X155" s="78"/>
      <c r="Z155" s="296" t="s">
        <v>103</v>
      </c>
      <c r="AA155" s="295">
        <f>AA152*5.09</f>
        <v>379168.34397654945</v>
      </c>
      <c r="AB155" s="104"/>
      <c r="AC155" s="87"/>
      <c r="AD155" s="88"/>
      <c r="AE155" s="160"/>
      <c r="AF155" s="64"/>
      <c r="AI155" s="269"/>
      <c r="AJ155" s="134"/>
      <c r="AK155" s="267"/>
      <c r="AL155" s="5"/>
    </row>
    <row r="156" spans="1:38" s="260" customFormat="1">
      <c r="B156" s="303" t="s">
        <v>103</v>
      </c>
      <c r="C156" s="260">
        <f>C154*5.09</f>
        <v>7679.9195785035645</v>
      </c>
      <c r="E156" s="260">
        <f>E154*5.09</f>
        <v>-113434.41956583881</v>
      </c>
      <c r="G156" s="260">
        <f>G154*5.09</f>
        <v>-28608.731239635265</v>
      </c>
      <c r="I156" s="260">
        <f>I154*5.09</f>
        <v>5964.8989458911547</v>
      </c>
      <c r="K156" s="260">
        <f>K154*5.09</f>
        <v>69854.921277491419</v>
      </c>
      <c r="M156" s="260">
        <f>M154*5.09</f>
        <v>246690.03537440434</v>
      </c>
      <c r="O156" s="260">
        <f>O154*5.09</f>
        <v>180858.98468846732</v>
      </c>
      <c r="Q156" s="260">
        <f>Q154*5.09</f>
        <v>124352.92821351871</v>
      </c>
      <c r="S156" s="260">
        <f>S154*5.09</f>
        <v>214117.13783728925</v>
      </c>
      <c r="U156" s="260">
        <f>U154*5.09</f>
        <v>184780.46119529012</v>
      </c>
      <c r="W156" s="260">
        <f>W154*5.09</f>
        <v>184276.72489910905</v>
      </c>
      <c r="Y156" s="260">
        <f>Y154*5.09</f>
        <v>379168.34397654783</v>
      </c>
    </row>
    <row r="158" spans="1:38">
      <c r="D158" s="358"/>
      <c r="E158" s="26"/>
      <c r="G158" s="26"/>
      <c r="I158" s="26"/>
      <c r="Q158" s="26"/>
    </row>
    <row r="159" spans="1:38">
      <c r="D159" s="359"/>
      <c r="E159" s="26"/>
      <c r="G159" s="26"/>
      <c r="I159" s="26"/>
      <c r="Q159" s="26"/>
    </row>
    <row r="160" spans="1:38">
      <c r="D160" s="359"/>
      <c r="E160" s="26"/>
      <c r="G160" s="26"/>
      <c r="I160" s="26"/>
    </row>
    <row r="161" spans="4:9">
      <c r="D161" s="358"/>
      <c r="E161" s="26"/>
      <c r="G161" s="26"/>
      <c r="I161" s="26"/>
    </row>
    <row r="162" spans="4:9">
      <c r="D162" s="358"/>
      <c r="E162" s="26"/>
      <c r="G162" s="26"/>
      <c r="I162" s="26"/>
    </row>
  </sheetData>
  <mergeCells count="17">
    <mergeCell ref="AK2:AK3"/>
    <mergeCell ref="U2:V2"/>
    <mergeCell ref="W2:X2"/>
    <mergeCell ref="Y2:Z2"/>
    <mergeCell ref="AA2:AB2"/>
    <mergeCell ref="AC2:AD2"/>
    <mergeCell ref="AI2:AI3"/>
    <mergeCell ref="A1:AD1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rintOptions horizontalCentered="1" verticalCentered="1"/>
  <pageMargins left="0.7" right="0.7" top="0.75" bottom="1.34" header="0.3" footer="0.3"/>
  <pageSetup paperSize="8" scale="5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62"/>
  <sheetViews>
    <sheetView tabSelected="1" zoomScale="70" zoomScaleNormal="70" workbookViewId="0">
      <pane xSplit="2" ySplit="5" topLeftCell="C39" activePane="bottomRight" state="frozen"/>
      <selection activeCell="M143" sqref="M143"/>
      <selection pane="topRight" activeCell="M143" sqref="M143"/>
      <selection pane="bottomLeft" activeCell="M143" sqref="M143"/>
      <selection pane="bottomRight" activeCell="K59" sqref="K59"/>
    </sheetView>
  </sheetViews>
  <sheetFormatPr defaultColWidth="9.140625" defaultRowHeight="21.75" customHeight="1"/>
  <cols>
    <col min="1" max="1" width="7.42578125" style="133" bestFit="1" customWidth="1"/>
    <col min="2" max="2" width="54.85546875" style="133" bestFit="1" customWidth="1"/>
    <col min="3" max="3" width="16.85546875" style="515" bestFit="1" customWidth="1"/>
    <col min="4" max="4" width="11.140625" style="516" bestFit="1" customWidth="1"/>
    <col min="5" max="5" width="16.85546875" style="515" bestFit="1" customWidth="1"/>
    <col min="6" max="6" width="11.140625" style="517" bestFit="1" customWidth="1"/>
    <col min="7" max="7" width="16.85546875" style="515" bestFit="1" customWidth="1"/>
    <col min="8" max="8" width="11.140625" style="517" bestFit="1" customWidth="1"/>
    <col min="9" max="9" width="16.85546875" style="515" bestFit="1" customWidth="1"/>
    <col min="10" max="10" width="11.140625" style="517" bestFit="1" customWidth="1"/>
    <col min="11" max="11" width="16.85546875" style="441" bestFit="1" customWidth="1"/>
    <col min="12" max="12" width="11.140625" style="517" bestFit="1" customWidth="1"/>
    <col min="13" max="13" width="16.85546875" style="441" bestFit="1" customWidth="1"/>
    <col min="14" max="14" width="11.140625" style="517" bestFit="1" customWidth="1"/>
    <col min="15" max="15" width="19.140625" style="441" bestFit="1" customWidth="1"/>
    <col min="16" max="16" width="11.140625" style="517" bestFit="1" customWidth="1"/>
    <col min="17" max="17" width="23.140625" style="516" customWidth="1"/>
    <col min="18" max="18" width="11.140625" style="517" bestFit="1" customWidth="1"/>
    <col min="19" max="19" width="16.140625" style="516" bestFit="1" customWidth="1"/>
    <col min="20" max="20" width="11.140625" style="517" bestFit="1" customWidth="1"/>
    <col min="21" max="21" width="16.140625" style="516" bestFit="1" customWidth="1"/>
    <col min="22" max="22" width="11.140625" style="517" bestFit="1" customWidth="1"/>
    <col min="23" max="23" width="16.140625" style="516" bestFit="1" customWidth="1"/>
    <col min="24" max="24" width="11.140625" style="517" bestFit="1" customWidth="1"/>
    <col min="25" max="25" width="16.140625" style="516" bestFit="1" customWidth="1"/>
    <col min="26" max="26" width="11.140625" style="517" bestFit="1" customWidth="1"/>
    <col min="27" max="27" width="16.140625" style="516" bestFit="1" customWidth="1"/>
    <col min="28" max="28" width="11.140625" style="517" bestFit="1" customWidth="1"/>
    <col min="29" max="29" width="14.5703125" style="516" bestFit="1" customWidth="1"/>
    <col min="30" max="30" width="11.140625" style="517" bestFit="1" customWidth="1"/>
    <col min="31" max="31" width="20.7109375" style="259" bestFit="1" customWidth="1"/>
    <col min="32" max="32" width="25.42578125" style="168" bestFit="1" customWidth="1"/>
    <col min="33" max="33" width="57.42578125" style="133" bestFit="1" customWidth="1"/>
    <col min="34" max="34" width="6" style="26" bestFit="1" customWidth="1"/>
    <col min="35" max="35" width="6" style="133" bestFit="1" customWidth="1"/>
    <col min="36" max="16384" width="9.140625" style="133"/>
  </cols>
  <sheetData>
    <row r="1" spans="1:34" s="289" customFormat="1" ht="21.75" customHeight="1">
      <c r="A1" s="600" t="s">
        <v>298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1"/>
      <c r="AE1" s="210"/>
      <c r="AF1" s="64"/>
      <c r="AH1" s="27"/>
    </row>
    <row r="2" spans="1:34" s="289" customFormat="1" ht="21.75" customHeight="1">
      <c r="A2" s="32"/>
      <c r="B2" s="32"/>
      <c r="C2" s="607" t="s">
        <v>64</v>
      </c>
      <c r="D2" s="608"/>
      <c r="E2" s="609" t="s">
        <v>65</v>
      </c>
      <c r="F2" s="609"/>
      <c r="G2" s="607" t="s">
        <v>81</v>
      </c>
      <c r="H2" s="608"/>
      <c r="I2" s="607" t="s">
        <v>82</v>
      </c>
      <c r="J2" s="608"/>
      <c r="K2" s="607" t="s">
        <v>83</v>
      </c>
      <c r="L2" s="608"/>
      <c r="M2" s="607" t="s">
        <v>84</v>
      </c>
      <c r="N2" s="610"/>
      <c r="O2" s="607" t="s">
        <v>85</v>
      </c>
      <c r="P2" s="608"/>
      <c r="Q2" s="607" t="s">
        <v>86</v>
      </c>
      <c r="R2" s="608"/>
      <c r="S2" s="609" t="s">
        <v>87</v>
      </c>
      <c r="T2" s="609"/>
      <c r="U2" s="607" t="s">
        <v>120</v>
      </c>
      <c r="V2" s="608"/>
      <c r="W2" s="607" t="s">
        <v>121</v>
      </c>
      <c r="X2" s="608"/>
      <c r="Y2" s="609" t="s">
        <v>122</v>
      </c>
      <c r="Z2" s="609"/>
      <c r="AA2" s="611" t="s">
        <v>118</v>
      </c>
      <c r="AB2" s="611"/>
      <c r="AC2" s="612" t="s">
        <v>119</v>
      </c>
      <c r="AD2" s="612"/>
      <c r="AE2" s="211"/>
      <c r="AF2" s="64"/>
      <c r="AH2" s="27"/>
    </row>
    <row r="3" spans="1:34" s="289" customFormat="1" ht="21.75" customHeight="1" thickBot="1">
      <c r="A3" s="30"/>
      <c r="B3" s="12" t="s">
        <v>69</v>
      </c>
      <c r="C3" s="385" t="s">
        <v>106</v>
      </c>
      <c r="D3" s="386" t="s">
        <v>80</v>
      </c>
      <c r="E3" s="385" t="s">
        <v>106</v>
      </c>
      <c r="F3" s="387" t="s">
        <v>80</v>
      </c>
      <c r="G3" s="385" t="s">
        <v>106</v>
      </c>
      <c r="H3" s="387" t="s">
        <v>80</v>
      </c>
      <c r="I3" s="385" t="s">
        <v>106</v>
      </c>
      <c r="J3" s="387" t="s">
        <v>80</v>
      </c>
      <c r="K3" s="388" t="s">
        <v>106</v>
      </c>
      <c r="L3" s="387" t="s">
        <v>80</v>
      </c>
      <c r="M3" s="388" t="s">
        <v>106</v>
      </c>
      <c r="N3" s="387" t="s">
        <v>80</v>
      </c>
      <c r="O3" s="388" t="s">
        <v>106</v>
      </c>
      <c r="P3" s="387" t="s">
        <v>80</v>
      </c>
      <c r="Q3" s="389" t="s">
        <v>106</v>
      </c>
      <c r="R3" s="387" t="s">
        <v>80</v>
      </c>
      <c r="S3" s="389" t="s">
        <v>106</v>
      </c>
      <c r="T3" s="387" t="s">
        <v>80</v>
      </c>
      <c r="U3" s="389" t="s">
        <v>106</v>
      </c>
      <c r="V3" s="387" t="s">
        <v>80</v>
      </c>
      <c r="W3" s="389" t="s">
        <v>106</v>
      </c>
      <c r="X3" s="387" t="s">
        <v>80</v>
      </c>
      <c r="Y3" s="389" t="s">
        <v>106</v>
      </c>
      <c r="Z3" s="387" t="s">
        <v>80</v>
      </c>
      <c r="AA3" s="390" t="s">
        <v>106</v>
      </c>
      <c r="AB3" s="391" t="s">
        <v>80</v>
      </c>
      <c r="AC3" s="392" t="s">
        <v>106</v>
      </c>
      <c r="AD3" s="393" t="s">
        <v>80</v>
      </c>
      <c r="AE3" s="212"/>
      <c r="AF3" s="64"/>
      <c r="AH3" s="27"/>
    </row>
    <row r="4" spans="1:34" s="289" customFormat="1" ht="21.75" customHeight="1">
      <c r="C4" s="394"/>
      <c r="D4" s="395"/>
      <c r="E4" s="394"/>
      <c r="F4" s="396"/>
      <c r="G4" s="394"/>
      <c r="H4" s="396"/>
      <c r="I4" s="394" t="s">
        <v>201</v>
      </c>
      <c r="J4" s="396"/>
      <c r="K4" s="397"/>
      <c r="L4" s="396"/>
      <c r="M4" s="397"/>
      <c r="N4" s="396"/>
      <c r="O4" s="397"/>
      <c r="P4" s="396"/>
      <c r="Q4" s="394" t="s">
        <v>201</v>
      </c>
      <c r="R4" s="396"/>
      <c r="S4" s="361"/>
      <c r="T4" s="396"/>
      <c r="U4" s="361"/>
      <c r="V4" s="396"/>
      <c r="W4" s="361"/>
      <c r="X4" s="396"/>
      <c r="Y4" s="361"/>
      <c r="Z4" s="396"/>
      <c r="AA4" s="398"/>
      <c r="AB4" s="399"/>
      <c r="AC4" s="400"/>
      <c r="AD4" s="401"/>
      <c r="AE4" s="160"/>
      <c r="AF4" s="64"/>
      <c r="AH4" s="27"/>
    </row>
    <row r="5" spans="1:34" s="5" customFormat="1" ht="21.75" customHeight="1">
      <c r="A5" s="6">
        <v>5004</v>
      </c>
      <c r="B5" s="16" t="s">
        <v>71</v>
      </c>
      <c r="C5" s="545">
        <f>169419+C9</f>
        <v>235492.5386358831</v>
      </c>
      <c r="D5" s="403">
        <v>1</v>
      </c>
      <c r="E5" s="546">
        <f>131808+E9</f>
        <v>173986.71571458978</v>
      </c>
      <c r="F5" s="403">
        <v>1</v>
      </c>
      <c r="G5" s="547">
        <f>218640.964381958+G9</f>
        <v>317029.398353839</v>
      </c>
      <c r="H5" s="403">
        <v>1</v>
      </c>
      <c r="I5" s="548">
        <f>193058.717883915+I9</f>
        <v>262559.85632212437</v>
      </c>
      <c r="J5" s="403">
        <v>1</v>
      </c>
      <c r="K5" s="549">
        <f>176571.864565418+K9</f>
        <v>222480.54935242669</v>
      </c>
      <c r="L5" s="403">
        <v>1</v>
      </c>
      <c r="M5" s="550">
        <f>250376.459277281+M9</f>
        <v>350527.04298819328</v>
      </c>
      <c r="N5" s="403">
        <v>1</v>
      </c>
      <c r="O5" s="551">
        <f>158515.97060285+O9</f>
        <v>221922.35884399005</v>
      </c>
      <c r="P5" s="403">
        <v>1</v>
      </c>
      <c r="Q5" s="556">
        <f>196835.469000883+Q9</f>
        <v>273601.30191122735</v>
      </c>
      <c r="R5" s="403">
        <v>1</v>
      </c>
      <c r="S5" s="555">
        <f>198287.972210436+S9</f>
        <v>257774.36387356685</v>
      </c>
      <c r="T5" s="403">
        <v>1</v>
      </c>
      <c r="U5" s="554">
        <f>157283.314232216+U9</f>
        <v>213905.30735581391</v>
      </c>
      <c r="V5" s="403">
        <v>1</v>
      </c>
      <c r="W5" s="553">
        <f>160026.575768933+W9</f>
        <v>190431.62516503024</v>
      </c>
      <c r="X5" s="403">
        <v>1</v>
      </c>
      <c r="Y5" s="552">
        <f>241746.304203848+Y9</f>
        <v>323940.04763315624</v>
      </c>
      <c r="Z5" s="403">
        <v>1</v>
      </c>
      <c r="AA5" s="405">
        <f>C5+E5+G5+I5+K5+M5+O5+Q5+S5+U5+W5+Y5</f>
        <v>3043651.1061498411</v>
      </c>
      <c r="AB5" s="406">
        <v>1</v>
      </c>
      <c r="AC5" s="407">
        <f>AA5/12</f>
        <v>253637.59217915343</v>
      </c>
      <c r="AD5" s="406">
        <v>1</v>
      </c>
      <c r="AE5" s="333" t="s">
        <v>201</v>
      </c>
      <c r="AF5" s="221" t="s">
        <v>106</v>
      </c>
      <c r="AG5" s="204" t="s">
        <v>171</v>
      </c>
      <c r="AH5" s="21">
        <f>Q5*5.09</f>
        <v>1392630.6267281473</v>
      </c>
    </row>
    <row r="6" spans="1:34" s="289" customFormat="1" ht="21.75" customHeight="1">
      <c r="A6" s="5">
        <v>5005</v>
      </c>
      <c r="B6" s="361" t="s">
        <v>67</v>
      </c>
      <c r="C6" s="402"/>
      <c r="D6" s="408"/>
      <c r="E6" s="402"/>
      <c r="F6" s="408"/>
      <c r="G6" s="402"/>
      <c r="H6" s="408"/>
      <c r="I6" s="402"/>
      <c r="J6" s="408"/>
      <c r="K6" s="397"/>
      <c r="L6" s="408"/>
      <c r="M6" s="409"/>
      <c r="N6" s="410"/>
      <c r="O6" s="404"/>
      <c r="P6" s="408"/>
      <c r="Q6" s="411"/>
      <c r="R6" s="408"/>
      <c r="S6" s="411"/>
      <c r="T6" s="408"/>
      <c r="U6" s="411"/>
      <c r="V6" s="408"/>
      <c r="W6" s="411"/>
      <c r="X6" s="408"/>
      <c r="Y6" s="411"/>
      <c r="Z6" s="408"/>
      <c r="AA6" s="405">
        <f t="shared" ref="AA6:AA11" si="0">C6+E6+G6+I6+K6+M6+O6+Q6+S6+U6+W6+Y6</f>
        <v>0</v>
      </c>
      <c r="AB6" s="413"/>
      <c r="AC6" s="407">
        <f t="shared" ref="AC6:AC69" si="1">AA6/12</f>
        <v>0</v>
      </c>
      <c r="AD6" s="414"/>
      <c r="AE6" s="213"/>
      <c r="AF6" s="64"/>
      <c r="AH6" s="21">
        <f t="shared" ref="AH6:AH69" si="2">Q6*5.09</f>
        <v>0</v>
      </c>
    </row>
    <row r="7" spans="1:34" s="289" customFormat="1" ht="21.75" customHeight="1">
      <c r="A7" s="6">
        <v>5051</v>
      </c>
      <c r="B7" s="362" t="s">
        <v>74</v>
      </c>
      <c r="C7" s="55"/>
      <c r="D7" s="49">
        <f>C7/C$5</f>
        <v>0</v>
      </c>
      <c r="E7" s="55"/>
      <c r="F7" s="49">
        <f>E7/E$5</f>
        <v>0</v>
      </c>
      <c r="H7" s="49">
        <f>G7/G$5</f>
        <v>0</v>
      </c>
      <c r="I7" s="55"/>
      <c r="J7" s="49">
        <f>I7/I$5</f>
        <v>0</v>
      </c>
      <c r="K7" s="55"/>
      <c r="L7" s="49">
        <f>K7/K$5</f>
        <v>0</v>
      </c>
      <c r="M7" s="55"/>
      <c r="N7" s="49">
        <f>M7/M$5</f>
        <v>0</v>
      </c>
      <c r="O7" s="55"/>
      <c r="P7" s="49">
        <f>O7/O$5</f>
        <v>0</v>
      </c>
      <c r="Q7" s="55"/>
      <c r="R7" s="49">
        <f>Q7/Q$5</f>
        <v>0</v>
      </c>
      <c r="S7" s="55"/>
      <c r="T7" s="49">
        <f>S7/S$5</f>
        <v>0</v>
      </c>
      <c r="U7" s="36"/>
      <c r="V7" s="49">
        <f>U7/U$5</f>
        <v>0</v>
      </c>
      <c r="W7" s="36"/>
      <c r="X7" s="49">
        <f>W7/W$5</f>
        <v>0</v>
      </c>
      <c r="Y7" s="36"/>
      <c r="Z7" s="49">
        <f>Y7/Y$5</f>
        <v>0</v>
      </c>
      <c r="AA7" s="405">
        <f t="shared" si="0"/>
        <v>0</v>
      </c>
      <c r="AB7" s="416">
        <f>AA7/AA$5</f>
        <v>0</v>
      </c>
      <c r="AC7" s="407">
        <f t="shared" si="1"/>
        <v>0</v>
      </c>
      <c r="AD7" s="417">
        <f>AC7/AC$5</f>
        <v>0</v>
      </c>
      <c r="AE7" s="214"/>
      <c r="AF7" s="64"/>
      <c r="AH7" s="21">
        <f t="shared" si="2"/>
        <v>0</v>
      </c>
    </row>
    <row r="8" spans="1:34" s="289" customFormat="1" ht="21.75" customHeight="1">
      <c r="A8" s="289">
        <v>5052</v>
      </c>
      <c r="B8" s="363" t="s">
        <v>90</v>
      </c>
      <c r="C8" s="55"/>
      <c r="D8" s="49">
        <f>C8/C$5</f>
        <v>0</v>
      </c>
      <c r="E8" s="55"/>
      <c r="F8" s="49">
        <f t="shared" ref="F8:F11" si="3">E8/E$5</f>
        <v>0</v>
      </c>
      <c r="G8" s="55"/>
      <c r="H8" s="49">
        <f t="shared" ref="H8:H11" si="4">G8/G$5</f>
        <v>0</v>
      </c>
      <c r="I8" s="55"/>
      <c r="J8" s="49">
        <f t="shared" ref="J8:J11" si="5">I8/I$5</f>
        <v>0</v>
      </c>
      <c r="K8" s="55"/>
      <c r="L8" s="49">
        <f t="shared" ref="L8:L11" si="6">K8/K$5</f>
        <v>0</v>
      </c>
      <c r="M8" s="55"/>
      <c r="N8" s="49">
        <f t="shared" ref="N8:N11" si="7">M8/M$5</f>
        <v>0</v>
      </c>
      <c r="O8" s="55"/>
      <c r="P8" s="49">
        <f t="shared" ref="P8:P11" si="8">O8/O$5</f>
        <v>0</v>
      </c>
      <c r="Q8" s="55"/>
      <c r="R8" s="49">
        <f t="shared" ref="R8:R11" si="9">Q8/Q$5</f>
        <v>0</v>
      </c>
      <c r="S8" s="55"/>
      <c r="T8" s="49">
        <f t="shared" ref="T8:T11" si="10">S8/S$5</f>
        <v>0</v>
      </c>
      <c r="U8" s="55"/>
      <c r="V8" s="49">
        <f t="shared" ref="V8:V11" si="11">U8/U$5</f>
        <v>0</v>
      </c>
      <c r="W8" s="55"/>
      <c r="X8" s="49">
        <f t="shared" ref="X8:X11" si="12">W8/W$5</f>
        <v>0</v>
      </c>
      <c r="Y8" s="55"/>
      <c r="Z8" s="49">
        <f t="shared" ref="Z8:Z11" si="13">Y8/Y$5</f>
        <v>0</v>
      </c>
      <c r="AA8" s="405">
        <f t="shared" si="0"/>
        <v>0</v>
      </c>
      <c r="AB8" s="416">
        <f t="shared" ref="AB8:AB11" si="14">AA8/AA$5</f>
        <v>0</v>
      </c>
      <c r="AC8" s="407">
        <f t="shared" si="1"/>
        <v>0</v>
      </c>
      <c r="AD8" s="417">
        <f t="shared" ref="AD8:AD11" si="15">AC8/AC$5</f>
        <v>0</v>
      </c>
      <c r="AE8" s="214"/>
      <c r="AF8" s="54"/>
      <c r="AH8" s="21">
        <f t="shared" si="2"/>
        <v>0</v>
      </c>
    </row>
    <row r="9" spans="1:34" s="289" customFormat="1" ht="21.75" customHeight="1">
      <c r="A9" s="289">
        <v>5101</v>
      </c>
      <c r="B9" s="363" t="s">
        <v>46</v>
      </c>
      <c r="C9" s="55">
        <v>66073.538635883102</v>
      </c>
      <c r="D9" s="49">
        <f>C9/C$5</f>
        <v>0.28057593254810309</v>
      </c>
      <c r="E9" s="55">
        <v>42178.71571458978</v>
      </c>
      <c r="F9" s="49">
        <f>E9/E$5</f>
        <v>0.24242492043921521</v>
      </c>
      <c r="G9" s="289">
        <v>98388.433971881008</v>
      </c>
      <c r="H9" s="49">
        <f>G9/G$5</f>
        <v>0.31034482758620668</v>
      </c>
      <c r="I9" s="55">
        <v>69501.138438209397</v>
      </c>
      <c r="J9" s="49">
        <f>I9/I$5</f>
        <v>0.26470588235294118</v>
      </c>
      <c r="K9" s="25">
        <v>45908.684787008679</v>
      </c>
      <c r="L9" s="49">
        <f>K9/K$5</f>
        <v>0.20634920634920634</v>
      </c>
      <c r="M9" s="25">
        <v>100150.58371091227</v>
      </c>
      <c r="N9" s="49">
        <f>M9/M$5</f>
        <v>0.28571428571428542</v>
      </c>
      <c r="O9" s="25">
        <v>63406.388241140048</v>
      </c>
      <c r="P9" s="49">
        <f>O9/O$5</f>
        <v>0.28571428571428586</v>
      </c>
      <c r="Q9" s="55">
        <v>76765.832910344354</v>
      </c>
      <c r="R9" s="49">
        <f>Q9/Q$5</f>
        <v>0.2805755395683453</v>
      </c>
      <c r="S9" s="36">
        <v>59486.391663130846</v>
      </c>
      <c r="T9" s="49">
        <f>S9/S$5</f>
        <v>0.23076923076923089</v>
      </c>
      <c r="U9" s="36">
        <v>56621.993123597909</v>
      </c>
      <c r="V9" s="49">
        <f>U9/U$5</f>
        <v>0.26470588235294168</v>
      </c>
      <c r="W9" s="55">
        <v>30405.049396097253</v>
      </c>
      <c r="X9" s="49">
        <f>W9/W$5</f>
        <v>0.15966386554621842</v>
      </c>
      <c r="Y9" s="36">
        <v>82193.743429308233</v>
      </c>
      <c r="Z9" s="49">
        <f>Y9/Y$5</f>
        <v>0.25373134328358188</v>
      </c>
      <c r="AA9" s="405">
        <f t="shared" si="0"/>
        <v>791080.49402210303</v>
      </c>
      <c r="AB9" s="416">
        <f t="shared" si="14"/>
        <v>0.25991168712592827</v>
      </c>
      <c r="AC9" s="407">
        <f t="shared" si="1"/>
        <v>65923.374501841914</v>
      </c>
      <c r="AD9" s="417">
        <f t="shared" si="15"/>
        <v>0.25991168712592827</v>
      </c>
      <c r="AE9" s="214"/>
      <c r="AF9" s="54"/>
      <c r="AH9" s="21">
        <f t="shared" si="2"/>
        <v>390738.08951365273</v>
      </c>
    </row>
    <row r="10" spans="1:34" s="289" customFormat="1" ht="21.75" customHeight="1">
      <c r="A10" s="289">
        <v>5102</v>
      </c>
      <c r="B10" s="363" t="s">
        <v>196</v>
      </c>
      <c r="C10" s="55">
        <v>0</v>
      </c>
      <c r="D10" s="49">
        <f>C10/C$5</f>
        <v>0</v>
      </c>
      <c r="E10" s="55"/>
      <c r="F10" s="49"/>
      <c r="G10" s="55"/>
      <c r="H10" s="49"/>
      <c r="I10" s="55"/>
      <c r="J10" s="49">
        <f t="shared" si="5"/>
        <v>0</v>
      </c>
      <c r="K10" s="21"/>
      <c r="L10" s="49">
        <f t="shared" si="6"/>
        <v>0</v>
      </c>
      <c r="M10" s="55"/>
      <c r="N10" s="49">
        <f t="shared" si="7"/>
        <v>0</v>
      </c>
      <c r="O10" s="55"/>
      <c r="P10" s="49">
        <f t="shared" si="8"/>
        <v>0</v>
      </c>
      <c r="Q10" s="21"/>
      <c r="R10" s="49">
        <f t="shared" si="9"/>
        <v>0</v>
      </c>
      <c r="S10" s="37"/>
      <c r="T10" s="49">
        <f t="shared" si="10"/>
        <v>0</v>
      </c>
      <c r="U10" s="37"/>
      <c r="V10" s="49">
        <f t="shared" si="11"/>
        <v>0</v>
      </c>
      <c r="W10" s="37"/>
      <c r="X10" s="49">
        <f t="shared" si="12"/>
        <v>0</v>
      </c>
      <c r="Y10" s="37"/>
      <c r="Z10" s="49">
        <f t="shared" si="13"/>
        <v>0</v>
      </c>
      <c r="AA10" s="405">
        <f t="shared" si="0"/>
        <v>0</v>
      </c>
      <c r="AB10" s="416">
        <f t="shared" si="14"/>
        <v>0</v>
      </c>
      <c r="AC10" s="407">
        <f t="shared" si="1"/>
        <v>0</v>
      </c>
      <c r="AD10" s="417">
        <f t="shared" si="15"/>
        <v>0</v>
      </c>
      <c r="AE10" s="214"/>
      <c r="AF10" s="54"/>
      <c r="AH10" s="21">
        <f t="shared" si="2"/>
        <v>0</v>
      </c>
    </row>
    <row r="11" spans="1:34" s="289" customFormat="1" ht="21.75" customHeight="1">
      <c r="A11" s="289">
        <v>5103</v>
      </c>
      <c r="B11" s="363" t="s">
        <v>63</v>
      </c>
      <c r="C11" s="46"/>
      <c r="D11" s="49">
        <f>C11/C$5</f>
        <v>0</v>
      </c>
      <c r="E11" s="61"/>
      <c r="F11" s="49">
        <f t="shared" si="3"/>
        <v>0</v>
      </c>
      <c r="G11" s="46"/>
      <c r="H11" s="49">
        <f t="shared" si="4"/>
        <v>0</v>
      </c>
      <c r="I11" s="46"/>
      <c r="J11" s="49">
        <f t="shared" si="5"/>
        <v>0</v>
      </c>
      <c r="K11" s="21"/>
      <c r="L11" s="49">
        <f t="shared" si="6"/>
        <v>0</v>
      </c>
      <c r="M11" s="21"/>
      <c r="N11" s="49">
        <f t="shared" si="7"/>
        <v>0</v>
      </c>
      <c r="O11" s="21"/>
      <c r="P11" s="49">
        <f t="shared" si="8"/>
        <v>0</v>
      </c>
      <c r="Q11" s="37">
        <v>0</v>
      </c>
      <c r="R11" s="49">
        <f t="shared" si="9"/>
        <v>0</v>
      </c>
      <c r="S11" s="37"/>
      <c r="T11" s="49">
        <f t="shared" si="10"/>
        <v>0</v>
      </c>
      <c r="U11" s="37"/>
      <c r="V11" s="49">
        <f t="shared" si="11"/>
        <v>0</v>
      </c>
      <c r="W11" s="37"/>
      <c r="X11" s="49">
        <f t="shared" si="12"/>
        <v>0</v>
      </c>
      <c r="Y11" s="37"/>
      <c r="Z11" s="49">
        <f t="shared" si="13"/>
        <v>0</v>
      </c>
      <c r="AA11" s="405">
        <f t="shared" si="0"/>
        <v>0</v>
      </c>
      <c r="AB11" s="416">
        <f t="shared" si="14"/>
        <v>0</v>
      </c>
      <c r="AC11" s="407">
        <f t="shared" si="1"/>
        <v>0</v>
      </c>
      <c r="AD11" s="417">
        <f t="shared" si="15"/>
        <v>0</v>
      </c>
      <c r="AE11" s="213"/>
      <c r="AF11" s="54"/>
      <c r="AH11" s="21">
        <f t="shared" si="2"/>
        <v>0</v>
      </c>
    </row>
    <row r="12" spans="1:34" s="289" customFormat="1" ht="21.75" customHeight="1" thickBot="1">
      <c r="A12" s="7">
        <v>5149</v>
      </c>
      <c r="B12" s="364" t="s">
        <v>66</v>
      </c>
      <c r="C12" s="419">
        <f>C5+C6-C7-C8-C9-C10+C11</f>
        <v>169419</v>
      </c>
      <c r="D12" s="420">
        <f>C12/C12</f>
        <v>1</v>
      </c>
      <c r="E12" s="419">
        <f>E5+E6-E7-E8-E9-E10+E11</f>
        <v>131808</v>
      </c>
      <c r="F12" s="420">
        <f>E12/E12</f>
        <v>1</v>
      </c>
      <c r="G12" s="419">
        <f>G5+G6-G7-G8-G9-G10+G11</f>
        <v>218640.96438195801</v>
      </c>
      <c r="H12" s="421">
        <f>G12/G12</f>
        <v>1</v>
      </c>
      <c r="I12" s="419">
        <f>I5+I6-I7-I8-I9-I10+I11</f>
        <v>193058.71788391497</v>
      </c>
      <c r="J12" s="420">
        <f>I12/I12</f>
        <v>1</v>
      </c>
      <c r="K12" s="419">
        <f>K5+K6-K7-K8-K9-K10+K11</f>
        <v>176571.86456541801</v>
      </c>
      <c r="L12" s="420">
        <f>K12/K12</f>
        <v>1</v>
      </c>
      <c r="M12" s="419">
        <f>M5+M6-M7-M8-M9-M10+M11</f>
        <v>250376.45927728101</v>
      </c>
      <c r="N12" s="420">
        <f>M12/M12</f>
        <v>1</v>
      </c>
      <c r="O12" s="419">
        <f>O5+O6-O7-O8-O9-O10+O11</f>
        <v>158515.97060284999</v>
      </c>
      <c r="P12" s="420">
        <f>O12/O12</f>
        <v>1</v>
      </c>
      <c r="Q12" s="419">
        <f>Q5+Q6-Q7-Q8-Q9-Q10+Q11</f>
        <v>196835.46900088299</v>
      </c>
      <c r="R12" s="420">
        <f>Q12/Q12</f>
        <v>1</v>
      </c>
      <c r="S12" s="419">
        <f>S5+S6-S7-S8-S9-S10+S11</f>
        <v>198287.97221043601</v>
      </c>
      <c r="T12" s="420">
        <f>S12/S12</f>
        <v>1</v>
      </c>
      <c r="U12" s="419">
        <f>U5+U6-U7-U8-U9-U10+U11</f>
        <v>157283.31423221601</v>
      </c>
      <c r="V12" s="421">
        <f>U12/U12</f>
        <v>1</v>
      </c>
      <c r="W12" s="419">
        <f>W5+W6-W7-W8-W9-W10+W11</f>
        <v>160026.57576893299</v>
      </c>
      <c r="X12" s="421">
        <f>W12/W12</f>
        <v>1</v>
      </c>
      <c r="Y12" s="419">
        <f>Y5+Y6-Y7-Y8-Y9-Y10+Y11</f>
        <v>241746.30420384801</v>
      </c>
      <c r="Z12" s="421">
        <f>Y12/Y12</f>
        <v>1</v>
      </c>
      <c r="AA12" s="422">
        <f>AA5+AA6-AA7-AA8-AA9-AA10+AA11</f>
        <v>2252570.6121277381</v>
      </c>
      <c r="AB12" s="423">
        <f>AA12/AA12</f>
        <v>1</v>
      </c>
      <c r="AC12" s="424">
        <f t="shared" si="1"/>
        <v>187714.21767731151</v>
      </c>
      <c r="AD12" s="425">
        <f>AC12/AC12</f>
        <v>1</v>
      </c>
      <c r="AE12" s="218" t="s">
        <v>173</v>
      </c>
      <c r="AF12" s="581">
        <f>AA12/365*5.09</f>
        <v>31412.5600430964</v>
      </c>
      <c r="AG12" s="209" t="s">
        <v>103</v>
      </c>
      <c r="AH12" s="21">
        <f t="shared" si="2"/>
        <v>1001892.5372144944</v>
      </c>
    </row>
    <row r="13" spans="1:34" s="289" customFormat="1" ht="21.75" customHeight="1" thickTop="1">
      <c r="A13" s="289">
        <v>5151</v>
      </c>
      <c r="B13" s="363" t="s">
        <v>47</v>
      </c>
      <c r="C13" s="418"/>
      <c r="D13" s="408"/>
      <c r="E13" s="418"/>
      <c r="F13" s="408"/>
      <c r="G13" s="418"/>
      <c r="H13" s="408"/>
      <c r="I13" s="418"/>
      <c r="J13" s="408"/>
      <c r="K13" s="397"/>
      <c r="L13" s="408"/>
      <c r="M13" s="397"/>
      <c r="N13" s="408"/>
      <c r="O13" s="397"/>
      <c r="P13" s="408"/>
      <c r="Q13" s="412"/>
      <c r="R13" s="408"/>
      <c r="S13" s="412"/>
      <c r="T13" s="408"/>
      <c r="U13" s="412"/>
      <c r="V13" s="408"/>
      <c r="W13" s="412"/>
      <c r="X13" s="408"/>
      <c r="Y13" s="412"/>
      <c r="Z13" s="408"/>
      <c r="AA13" s="405">
        <f>C13+E13+G13+I13+K13+M13+O13+Q13+S13+U13+W13+Y13</f>
        <v>0</v>
      </c>
      <c r="AB13" s="413"/>
      <c r="AC13" s="407">
        <f t="shared" si="1"/>
        <v>0</v>
      </c>
      <c r="AD13" s="414"/>
      <c r="AE13" s="213"/>
      <c r="AF13" s="54"/>
      <c r="AH13" s="21">
        <f t="shared" si="2"/>
        <v>0</v>
      </c>
    </row>
    <row r="14" spans="1:34" s="289" customFormat="1" ht="21.75" customHeight="1">
      <c r="A14" s="289">
        <v>5152</v>
      </c>
      <c r="B14" s="363" t="s">
        <v>48</v>
      </c>
      <c r="C14" s="418"/>
      <c r="D14" s="408"/>
      <c r="E14" s="418"/>
      <c r="F14" s="408"/>
      <c r="G14" s="418"/>
      <c r="H14" s="408"/>
      <c r="I14" s="418"/>
      <c r="J14" s="408"/>
      <c r="K14" s="397"/>
      <c r="L14" s="408"/>
      <c r="M14" s="397"/>
      <c r="N14" s="408"/>
      <c r="O14" s="397"/>
      <c r="P14" s="408"/>
      <c r="Q14" s="412"/>
      <c r="R14" s="408"/>
      <c r="S14" s="412"/>
      <c r="T14" s="408"/>
      <c r="U14" s="412"/>
      <c r="V14" s="408"/>
      <c r="W14" s="412"/>
      <c r="X14" s="408"/>
      <c r="Y14" s="412"/>
      <c r="Z14" s="408"/>
      <c r="AA14" s="405">
        <f>C14+E14+G14+I14+K14+M14+O14+Q14+S14+U14+W14+Y14</f>
        <v>0</v>
      </c>
      <c r="AB14" s="413"/>
      <c r="AC14" s="407">
        <f t="shared" si="1"/>
        <v>0</v>
      </c>
      <c r="AD14" s="414"/>
      <c r="AE14" s="213"/>
      <c r="AF14" s="54"/>
      <c r="AH14" s="21">
        <f t="shared" si="2"/>
        <v>0</v>
      </c>
    </row>
    <row r="15" spans="1:34" s="289" customFormat="1" ht="21.75" customHeight="1" thickBot="1">
      <c r="A15" s="39">
        <v>5198</v>
      </c>
      <c r="B15" s="365" t="s">
        <v>107</v>
      </c>
      <c r="C15" s="426">
        <f>C13+C14</f>
        <v>0</v>
      </c>
      <c r="D15" s="427"/>
      <c r="E15" s="426">
        <f>E13+E14</f>
        <v>0</v>
      </c>
      <c r="F15" s="427"/>
      <c r="G15" s="426">
        <f>G13+G14</f>
        <v>0</v>
      </c>
      <c r="H15" s="427"/>
      <c r="I15" s="426">
        <f>I13+I14</f>
        <v>0</v>
      </c>
      <c r="J15" s="427"/>
      <c r="K15" s="428">
        <f>K13+K14</f>
        <v>0</v>
      </c>
      <c r="L15" s="427"/>
      <c r="M15" s="428">
        <f>M13+M14</f>
        <v>0</v>
      </c>
      <c r="N15" s="427"/>
      <c r="O15" s="428">
        <f>O13+O14</f>
        <v>0</v>
      </c>
      <c r="P15" s="427"/>
      <c r="Q15" s="429">
        <f>Q13+Q14</f>
        <v>0</v>
      </c>
      <c r="R15" s="427"/>
      <c r="S15" s="429">
        <f>S13+S14</f>
        <v>0</v>
      </c>
      <c r="T15" s="427"/>
      <c r="U15" s="429">
        <f>U13+U14</f>
        <v>0</v>
      </c>
      <c r="V15" s="427"/>
      <c r="W15" s="429">
        <f>W13+W14</f>
        <v>0</v>
      </c>
      <c r="X15" s="427"/>
      <c r="Y15" s="429">
        <f>Y13+Y14</f>
        <v>0</v>
      </c>
      <c r="Z15" s="427"/>
      <c r="AA15" s="422">
        <f>AA13+AA14</f>
        <v>0</v>
      </c>
      <c r="AB15" s="430"/>
      <c r="AC15" s="424">
        <f t="shared" si="1"/>
        <v>0</v>
      </c>
      <c r="AD15" s="431"/>
      <c r="AE15" s="213"/>
      <c r="AF15" s="54"/>
      <c r="AH15" s="21">
        <f t="shared" si="2"/>
        <v>0</v>
      </c>
    </row>
    <row r="16" spans="1:34" s="289" customFormat="1" ht="21.75" customHeight="1" thickTop="1" thickBot="1">
      <c r="A16" s="41">
        <v>5199</v>
      </c>
      <c r="B16" s="366" t="s">
        <v>70</v>
      </c>
      <c r="C16" s="432">
        <f>C12+C15</f>
        <v>169419</v>
      </c>
      <c r="D16" s="433">
        <f>C16/C12</f>
        <v>1</v>
      </c>
      <c r="E16" s="432">
        <f>E12+E15</f>
        <v>131808</v>
      </c>
      <c r="F16" s="433">
        <f>E16/E12</f>
        <v>1</v>
      </c>
      <c r="G16" s="432">
        <f>G12+G15</f>
        <v>218640.96438195801</v>
      </c>
      <c r="H16" s="433">
        <f>G16/G12</f>
        <v>1</v>
      </c>
      <c r="I16" s="432">
        <f>I12+I15</f>
        <v>193058.71788391497</v>
      </c>
      <c r="J16" s="433">
        <f>I16/I12</f>
        <v>1</v>
      </c>
      <c r="K16" s="434">
        <f>K12+K15</f>
        <v>176571.86456541801</v>
      </c>
      <c r="L16" s="433">
        <f>K16/K12</f>
        <v>1</v>
      </c>
      <c r="M16" s="434">
        <f>M12+M15</f>
        <v>250376.45927728101</v>
      </c>
      <c r="N16" s="433">
        <f>M16/M12</f>
        <v>1</v>
      </c>
      <c r="O16" s="434">
        <f>O12+O15</f>
        <v>158515.97060284999</v>
      </c>
      <c r="P16" s="433">
        <f>O16/O12</f>
        <v>1</v>
      </c>
      <c r="Q16" s="435">
        <f>Q12+Q15</f>
        <v>196835.46900088299</v>
      </c>
      <c r="R16" s="433">
        <f>Q16/Q12</f>
        <v>1</v>
      </c>
      <c r="S16" s="435">
        <f>S12+S15</f>
        <v>198287.97221043601</v>
      </c>
      <c r="T16" s="433">
        <f>S16/S12</f>
        <v>1</v>
      </c>
      <c r="U16" s="435">
        <f>U12+U15</f>
        <v>157283.31423221601</v>
      </c>
      <c r="V16" s="433">
        <f>U16/U12</f>
        <v>1</v>
      </c>
      <c r="W16" s="435">
        <f>W12+W15</f>
        <v>160026.57576893299</v>
      </c>
      <c r="X16" s="433">
        <f>W16/W12</f>
        <v>1</v>
      </c>
      <c r="Y16" s="435">
        <f>Y12+Y15</f>
        <v>241746.30420384801</v>
      </c>
      <c r="Z16" s="433">
        <f>Y16/Y12</f>
        <v>1</v>
      </c>
      <c r="AA16" s="436">
        <f>AA12+AA15</f>
        <v>2252570.6121277381</v>
      </c>
      <c r="AB16" s="437">
        <f>AA16/AA12</f>
        <v>1</v>
      </c>
      <c r="AC16" s="438">
        <f t="shared" si="1"/>
        <v>187714.21767731151</v>
      </c>
      <c r="AD16" s="439">
        <f>AC16/AC12</f>
        <v>1</v>
      </c>
      <c r="AE16" s="218" t="s">
        <v>173</v>
      </c>
      <c r="AF16" s="220">
        <v>0.52810000000000001</v>
      </c>
      <c r="AG16" s="209" t="s">
        <v>175</v>
      </c>
      <c r="AH16" s="21">
        <f t="shared" si="2"/>
        <v>1001892.5372144944</v>
      </c>
    </row>
    <row r="17" spans="1:34" s="289" customFormat="1" ht="21.75" customHeight="1" thickTop="1">
      <c r="A17" s="13">
        <v>5502</v>
      </c>
      <c r="B17" s="361" t="s">
        <v>49</v>
      </c>
      <c r="C17" s="189">
        <f>C12*51.11%</f>
        <v>86590.050900000002</v>
      </c>
      <c r="D17" s="49">
        <f>C17/C12</f>
        <v>0.5111</v>
      </c>
      <c r="E17" s="189">
        <f>E12*51.3%</f>
        <v>67617.504000000001</v>
      </c>
      <c r="F17" s="49">
        <f>E17/E12</f>
        <v>0.51300000000000001</v>
      </c>
      <c r="G17" s="189">
        <f>G12*55.54%</f>
        <v>121433.19161773947</v>
      </c>
      <c r="H17" s="49">
        <f>G17/G12</f>
        <v>0.5554</v>
      </c>
      <c r="I17" s="189">
        <f>I12*52.58%</f>
        <v>101510.27386336248</v>
      </c>
      <c r="J17" s="49">
        <f>I17/I12</f>
        <v>0.52579999999999993</v>
      </c>
      <c r="K17" s="189">
        <f>K12*45.34%</f>
        <v>80057.683393960528</v>
      </c>
      <c r="L17" s="49">
        <f>K17/K12</f>
        <v>0.45340000000000003</v>
      </c>
      <c r="M17" s="189">
        <f>M12*54.27%</f>
        <v>135879.30444978044</v>
      </c>
      <c r="N17" s="49">
        <f>M17/M12</f>
        <v>0.54270000000000007</v>
      </c>
      <c r="O17" s="189">
        <f>O12*52.4%</f>
        <v>83062.368595893393</v>
      </c>
      <c r="P17" s="49">
        <f>O17/O12</f>
        <v>0.52400000000000002</v>
      </c>
      <c r="Q17" s="189">
        <f>Q12*57.95%</f>
        <v>114066.1542860117</v>
      </c>
      <c r="R17" s="49">
        <f>Q17/Q12</f>
        <v>0.57950000000000002</v>
      </c>
      <c r="S17" s="189">
        <f>S12*47.95%</f>
        <v>95079.082674904072</v>
      </c>
      <c r="T17" s="49">
        <f>S17/S12</f>
        <v>0.47950000000000004</v>
      </c>
      <c r="U17" s="189">
        <f>U12*47.44%</f>
        <v>74615.204271763272</v>
      </c>
      <c r="V17" s="49">
        <f>U17/U12</f>
        <v>0.47439999999999999</v>
      </c>
      <c r="W17" s="189">
        <f>W12*46.75%</f>
        <v>74812.424171976178</v>
      </c>
      <c r="X17" s="49">
        <f>W17/W12</f>
        <v>0.46750000000000003</v>
      </c>
      <c r="Y17" s="189">
        <f>Y12*51.23%</f>
        <v>123846.63164363132</v>
      </c>
      <c r="Z17" s="49">
        <f>Y17/Y12</f>
        <v>0.51229999999999998</v>
      </c>
      <c r="AA17" s="405">
        <f>C17+E17+G17+I17+K17+M17+O17+Q17+S17+U17+W17+Y17</f>
        <v>1158569.8738690228</v>
      </c>
      <c r="AB17" s="416">
        <f>AA17/AA12</f>
        <v>0.51433232220616532</v>
      </c>
      <c r="AC17" s="407">
        <f t="shared" si="1"/>
        <v>96547.48948908523</v>
      </c>
      <c r="AD17" s="417">
        <f>AC17/AC12</f>
        <v>0.51433232220616532</v>
      </c>
      <c r="AE17" s="160"/>
      <c r="AF17" s="64"/>
      <c r="AH17" s="21">
        <f t="shared" si="2"/>
        <v>580596.72531579959</v>
      </c>
    </row>
    <row r="18" spans="1:34" s="289" customFormat="1" ht="21.75" customHeight="1">
      <c r="A18" s="3">
        <v>5503</v>
      </c>
      <c r="B18" s="367" t="s">
        <v>50</v>
      </c>
      <c r="C18" s="418"/>
      <c r="D18" s="408"/>
      <c r="E18" s="418"/>
      <c r="F18" s="408"/>
      <c r="G18" s="418"/>
      <c r="H18" s="408"/>
      <c r="I18" s="418"/>
      <c r="J18" s="408"/>
      <c r="K18" s="397"/>
      <c r="L18" s="408"/>
      <c r="M18" s="397"/>
      <c r="N18" s="408"/>
      <c r="O18" s="397"/>
      <c r="P18" s="408"/>
      <c r="Q18" s="412"/>
      <c r="R18" s="408"/>
      <c r="S18" s="412"/>
      <c r="T18" s="408">
        <v>0</v>
      </c>
      <c r="U18" s="412"/>
      <c r="V18" s="408"/>
      <c r="W18" s="412"/>
      <c r="X18" s="408"/>
      <c r="Y18" s="412"/>
      <c r="Z18" s="408"/>
      <c r="AA18" s="405">
        <f>C18+E18+G18+I18+K18+M18+O18+Q18+S18+U18+W18+Y18</f>
        <v>0</v>
      </c>
      <c r="AB18" s="413"/>
      <c r="AC18" s="407">
        <f t="shared" si="1"/>
        <v>0</v>
      </c>
      <c r="AD18" s="414"/>
      <c r="AE18" s="213"/>
      <c r="AF18" s="54"/>
      <c r="AH18" s="21">
        <f t="shared" si="2"/>
        <v>0</v>
      </c>
    </row>
    <row r="19" spans="1:34" s="289" customFormat="1" ht="21.75" customHeight="1">
      <c r="A19" s="3">
        <v>5504</v>
      </c>
      <c r="B19" s="367" t="s">
        <v>51</v>
      </c>
      <c r="C19" s="418"/>
      <c r="D19" s="415">
        <f>C19/C12</f>
        <v>0</v>
      </c>
      <c r="E19" s="418"/>
      <c r="F19" s="415">
        <f>E19/E12</f>
        <v>0</v>
      </c>
      <c r="G19" s="363"/>
      <c r="H19" s="415">
        <f>G19/G12</f>
        <v>0</v>
      </c>
      <c r="I19" s="418"/>
      <c r="J19" s="415">
        <f>I19/I12</f>
        <v>0</v>
      </c>
      <c r="K19" s="397"/>
      <c r="L19" s="415">
        <f>K19/K12</f>
        <v>0</v>
      </c>
      <c r="M19" s="397"/>
      <c r="N19" s="415">
        <f>M19/M12</f>
        <v>0</v>
      </c>
      <c r="O19" s="397"/>
      <c r="P19" s="415">
        <f>O19/O12</f>
        <v>0</v>
      </c>
      <c r="Q19" s="412"/>
      <c r="R19" s="415">
        <f>Q19/Q12</f>
        <v>0</v>
      </c>
      <c r="S19" s="412"/>
      <c r="T19" s="415">
        <f>S19/S12</f>
        <v>0</v>
      </c>
      <c r="U19" s="412"/>
      <c r="V19" s="415">
        <f>U19/U12</f>
        <v>0</v>
      </c>
      <c r="W19" s="412"/>
      <c r="X19" s="415">
        <f>W19/W12</f>
        <v>0</v>
      </c>
      <c r="Y19" s="412"/>
      <c r="Z19" s="415">
        <f>Y19/Y12</f>
        <v>0</v>
      </c>
      <c r="AA19" s="405">
        <f>C19+E19+G19+I19+K19+M19+O19+Q19+S19+U19+W19+Y19</f>
        <v>0</v>
      </c>
      <c r="AB19" s="416">
        <f>AA19/AA12</f>
        <v>0</v>
      </c>
      <c r="AC19" s="407">
        <f t="shared" si="1"/>
        <v>0</v>
      </c>
      <c r="AD19" s="417">
        <f>AC19/AC12</f>
        <v>0</v>
      </c>
      <c r="AE19" s="214"/>
      <c r="AF19" s="54"/>
      <c r="AH19" s="21">
        <f t="shared" si="2"/>
        <v>0</v>
      </c>
    </row>
    <row r="20" spans="1:34" s="289" customFormat="1" ht="21.75" customHeight="1">
      <c r="A20" s="3">
        <v>5505</v>
      </c>
      <c r="B20" s="367" t="s">
        <v>52</v>
      </c>
      <c r="C20" s="418"/>
      <c r="D20" s="408"/>
      <c r="E20" s="418"/>
      <c r="F20" s="408"/>
      <c r="G20" s="418"/>
      <c r="H20" s="408"/>
      <c r="I20" s="418"/>
      <c r="J20" s="408"/>
      <c r="K20" s="397"/>
      <c r="L20" s="408"/>
      <c r="M20" s="397"/>
      <c r="N20" s="408"/>
      <c r="O20" s="397"/>
      <c r="P20" s="408"/>
      <c r="Q20" s="412"/>
      <c r="R20" s="408"/>
      <c r="S20" s="412"/>
      <c r="T20" s="408"/>
      <c r="U20" s="412"/>
      <c r="V20" s="408"/>
      <c r="W20" s="412"/>
      <c r="X20" s="408"/>
      <c r="Y20" s="412"/>
      <c r="Z20" s="408"/>
      <c r="AA20" s="405">
        <f>C20+E20+G20+I20+K20+M20+O20+Q20+S20+U20+W20+Y20</f>
        <v>0</v>
      </c>
      <c r="AB20" s="413"/>
      <c r="AC20" s="407">
        <f t="shared" si="1"/>
        <v>0</v>
      </c>
      <c r="AD20" s="414"/>
      <c r="AE20" s="213"/>
      <c r="AF20" s="54"/>
      <c r="AH20" s="21">
        <f t="shared" si="2"/>
        <v>0</v>
      </c>
    </row>
    <row r="21" spans="1:34" s="289" customFormat="1" ht="21.75" customHeight="1" thickBot="1">
      <c r="A21" s="8">
        <v>5599</v>
      </c>
      <c r="B21" s="368" t="s">
        <v>108</v>
      </c>
      <c r="C21" s="419">
        <f>SUM(C17:C20)</f>
        <v>86590.050900000002</v>
      </c>
      <c r="D21" s="421">
        <f>C21/C12</f>
        <v>0.5111</v>
      </c>
      <c r="E21" s="419">
        <f>SUM(E17:E20)</f>
        <v>67617.504000000001</v>
      </c>
      <c r="F21" s="421">
        <f>E21/E12</f>
        <v>0.51300000000000001</v>
      </c>
      <c r="G21" s="419">
        <f>SUM(G17:G20)</f>
        <v>121433.19161773947</v>
      </c>
      <c r="H21" s="421">
        <f>G21/G12</f>
        <v>0.5554</v>
      </c>
      <c r="I21" s="419">
        <f>SUM(I17:I20)</f>
        <v>101510.27386336248</v>
      </c>
      <c r="J21" s="421">
        <f>I21/I12</f>
        <v>0.52579999999999993</v>
      </c>
      <c r="K21" s="442">
        <f>SUM(K17:K20)</f>
        <v>80057.683393960528</v>
      </c>
      <c r="L21" s="421">
        <f>K21/K12</f>
        <v>0.45340000000000003</v>
      </c>
      <c r="M21" s="442">
        <f>SUM(M17:M20)</f>
        <v>135879.30444978044</v>
      </c>
      <c r="N21" s="421">
        <f>M21/M12</f>
        <v>0.54270000000000007</v>
      </c>
      <c r="O21" s="442">
        <f>SUM(O17:O20)</f>
        <v>83062.368595893393</v>
      </c>
      <c r="P21" s="421">
        <f>O21/O12</f>
        <v>0.52400000000000002</v>
      </c>
      <c r="Q21" s="419">
        <f>SUM(Q17:Q20)</f>
        <v>114066.1542860117</v>
      </c>
      <c r="R21" s="421">
        <f>Q21/Q12</f>
        <v>0.57950000000000002</v>
      </c>
      <c r="S21" s="419">
        <f>SUM(S17:S20)</f>
        <v>95079.082674904072</v>
      </c>
      <c r="T21" s="421">
        <f>S21/S12</f>
        <v>0.47950000000000004</v>
      </c>
      <c r="U21" s="419">
        <f>SUM(U17:U20)</f>
        <v>74615.204271763272</v>
      </c>
      <c r="V21" s="421">
        <f>U21/U12</f>
        <v>0.47439999999999999</v>
      </c>
      <c r="W21" s="419">
        <f>SUM(W17:W20)</f>
        <v>74812.424171976178</v>
      </c>
      <c r="X21" s="421">
        <f>W21/W12</f>
        <v>0.46750000000000003</v>
      </c>
      <c r="Y21" s="419">
        <f>SUM(Y17:Y20)</f>
        <v>123846.63164363132</v>
      </c>
      <c r="Z21" s="421">
        <f>Y21/Y12</f>
        <v>0.51229999999999998</v>
      </c>
      <c r="AA21" s="422">
        <f>SUM(AA17:AA20)</f>
        <v>1158569.8738690228</v>
      </c>
      <c r="AB21" s="423">
        <f>AA21/AA12</f>
        <v>0.51433232220616532</v>
      </c>
      <c r="AC21" s="424">
        <f t="shared" si="1"/>
        <v>96547.48948908523</v>
      </c>
      <c r="AD21" s="425">
        <f>AC21/AC12</f>
        <v>0.51433232220616532</v>
      </c>
      <c r="AE21" s="218"/>
      <c r="AF21" s="219"/>
      <c r="AG21" s="209"/>
      <c r="AH21" s="21">
        <f t="shared" si="2"/>
        <v>580596.72531579959</v>
      </c>
    </row>
    <row r="22" spans="1:34" s="289" customFormat="1" ht="21.75" customHeight="1" thickTop="1">
      <c r="A22" s="3">
        <v>5601</v>
      </c>
      <c r="B22" s="367" t="s">
        <v>53</v>
      </c>
      <c r="C22" s="418"/>
      <c r="D22" s="415">
        <f t="shared" ref="D22:D34" si="16">C22/C$12</f>
        <v>0</v>
      </c>
      <c r="E22" s="418"/>
      <c r="F22" s="415">
        <f t="shared" ref="F22:F35" si="17">E22/E$12</f>
        <v>0</v>
      </c>
      <c r="G22" s="418"/>
      <c r="H22" s="415">
        <f t="shared" ref="H22:H34" si="18">G22/G$12</f>
        <v>0</v>
      </c>
      <c r="I22" s="418"/>
      <c r="J22" s="415">
        <f t="shared" ref="J22:J34" si="19">I22/I$12</f>
        <v>0</v>
      </c>
      <c r="K22" s="418"/>
      <c r="L22" s="415">
        <f t="shared" ref="L22:L34" si="20">K22/K$12</f>
        <v>0</v>
      </c>
      <c r="M22" s="418"/>
      <c r="N22" s="415">
        <f t="shared" ref="N22:N34" si="21">M22/M$12</f>
        <v>0</v>
      </c>
      <c r="O22" s="418"/>
      <c r="P22" s="415">
        <f t="shared" ref="P22:P34" si="22">O22/O$12</f>
        <v>0</v>
      </c>
      <c r="Q22" s="418"/>
      <c r="R22" s="415">
        <f>Q22/Q$12</f>
        <v>0</v>
      </c>
      <c r="S22" s="418"/>
      <c r="T22" s="415">
        <f t="shared" ref="T22:T34" si="23">S22/S$12</f>
        <v>0</v>
      </c>
      <c r="U22" s="418"/>
      <c r="V22" s="415">
        <f t="shared" ref="V22:V34" si="24">U22/U$12</f>
        <v>0</v>
      </c>
      <c r="W22" s="418"/>
      <c r="X22" s="415">
        <f>W22/W$12</f>
        <v>0</v>
      </c>
      <c r="Y22" s="418"/>
      <c r="Z22" s="415">
        <f t="shared" ref="Z22:Z34" si="25">Y22/Y$12</f>
        <v>0</v>
      </c>
      <c r="AA22" s="405">
        <f t="shared" ref="AA22:AA34" si="26">C22+E22+G22+I22+K22+M22+O22+Q22+S22+U22+W22+Y22</f>
        <v>0</v>
      </c>
      <c r="AB22" s="416">
        <f t="shared" ref="AB22:AB34" si="27">AA22/AA$12</f>
        <v>0</v>
      </c>
      <c r="AC22" s="407">
        <f t="shared" si="1"/>
        <v>0</v>
      </c>
      <c r="AD22" s="417">
        <f t="shared" ref="AD22:AD34" si="28">AC22/AC$12</f>
        <v>0</v>
      </c>
      <c r="AE22" s="214"/>
      <c r="AF22" s="54"/>
      <c r="AH22" s="21">
        <f t="shared" si="2"/>
        <v>0</v>
      </c>
    </row>
    <row r="23" spans="1:34" s="289" customFormat="1" ht="21.75" customHeight="1">
      <c r="A23" s="3">
        <v>5602</v>
      </c>
      <c r="B23" s="367" t="s">
        <v>54</v>
      </c>
      <c r="C23" s="418"/>
      <c r="D23" s="415">
        <f t="shared" si="16"/>
        <v>0</v>
      </c>
      <c r="E23" s="418"/>
      <c r="F23" s="415">
        <f t="shared" si="17"/>
        <v>0</v>
      </c>
      <c r="G23" s="418"/>
      <c r="H23" s="415">
        <f t="shared" si="18"/>
        <v>0</v>
      </c>
      <c r="I23" s="418"/>
      <c r="J23" s="415">
        <f t="shared" si="19"/>
        <v>0</v>
      </c>
      <c r="K23" s="418"/>
      <c r="L23" s="415">
        <f t="shared" si="20"/>
        <v>0</v>
      </c>
      <c r="M23" s="418"/>
      <c r="N23" s="415">
        <f t="shared" si="21"/>
        <v>0</v>
      </c>
      <c r="O23" s="418"/>
      <c r="P23" s="415">
        <f t="shared" si="22"/>
        <v>0</v>
      </c>
      <c r="Q23" s="418"/>
      <c r="R23" s="415">
        <f>Q23/Q$12</f>
        <v>0</v>
      </c>
      <c r="S23" s="418"/>
      <c r="T23" s="415">
        <f t="shared" si="23"/>
        <v>0</v>
      </c>
      <c r="U23" s="418"/>
      <c r="V23" s="415">
        <f t="shared" si="24"/>
        <v>0</v>
      </c>
      <c r="W23" s="418"/>
      <c r="X23" s="415">
        <f>W23/W$12</f>
        <v>0</v>
      </c>
      <c r="Y23" s="418"/>
      <c r="Z23" s="415">
        <f t="shared" si="25"/>
        <v>0</v>
      </c>
      <c r="AA23" s="405">
        <f t="shared" si="26"/>
        <v>0</v>
      </c>
      <c r="AB23" s="416">
        <f t="shared" si="27"/>
        <v>0</v>
      </c>
      <c r="AC23" s="407">
        <f t="shared" si="1"/>
        <v>0</v>
      </c>
      <c r="AD23" s="417">
        <f t="shared" si="28"/>
        <v>0</v>
      </c>
      <c r="AE23" s="214"/>
      <c r="AF23" s="54"/>
      <c r="AH23" s="21">
        <f t="shared" si="2"/>
        <v>0</v>
      </c>
    </row>
    <row r="24" spans="1:34" s="289" customFormat="1" ht="21.75" customHeight="1">
      <c r="A24" s="3">
        <v>5603</v>
      </c>
      <c r="B24" s="367" t="s">
        <v>55</v>
      </c>
      <c r="C24" s="418">
        <v>0</v>
      </c>
      <c r="D24" s="415">
        <f t="shared" si="16"/>
        <v>0</v>
      </c>
      <c r="E24" s="418">
        <v>0</v>
      </c>
      <c r="F24" s="415">
        <f t="shared" si="17"/>
        <v>0</v>
      </c>
      <c r="G24" s="418">
        <v>0</v>
      </c>
      <c r="H24" s="415">
        <f t="shared" si="18"/>
        <v>0</v>
      </c>
      <c r="I24" s="418">
        <v>0</v>
      </c>
      <c r="J24" s="415">
        <f t="shared" si="19"/>
        <v>0</v>
      </c>
      <c r="K24" s="418">
        <v>0</v>
      </c>
      <c r="L24" s="415">
        <f t="shared" si="20"/>
        <v>0</v>
      </c>
      <c r="M24" s="418">
        <v>0</v>
      </c>
      <c r="N24" s="415">
        <f t="shared" si="21"/>
        <v>0</v>
      </c>
      <c r="O24" s="418">
        <v>0</v>
      </c>
      <c r="P24" s="415">
        <f t="shared" si="22"/>
        <v>0</v>
      </c>
      <c r="Q24" s="418">
        <v>0</v>
      </c>
      <c r="R24" s="415">
        <f>Q24/Q$12</f>
        <v>0</v>
      </c>
      <c r="S24" s="418">
        <v>0</v>
      </c>
      <c r="T24" s="415">
        <f t="shared" si="23"/>
        <v>0</v>
      </c>
      <c r="U24" s="418">
        <v>0</v>
      </c>
      <c r="V24" s="415">
        <f t="shared" si="24"/>
        <v>0</v>
      </c>
      <c r="W24" s="418">
        <v>0</v>
      </c>
      <c r="X24" s="415">
        <f>W24/W$12</f>
        <v>0</v>
      </c>
      <c r="Y24" s="418">
        <v>0</v>
      </c>
      <c r="Z24" s="415">
        <f t="shared" si="25"/>
        <v>0</v>
      </c>
      <c r="AA24" s="405">
        <f t="shared" si="26"/>
        <v>0</v>
      </c>
      <c r="AB24" s="416">
        <f t="shared" si="27"/>
        <v>0</v>
      </c>
      <c r="AC24" s="407">
        <f t="shared" si="1"/>
        <v>0</v>
      </c>
      <c r="AD24" s="417">
        <f t="shared" si="28"/>
        <v>0</v>
      </c>
      <c r="AE24" s="214"/>
      <c r="AF24" s="54"/>
      <c r="AH24" s="21">
        <f t="shared" si="2"/>
        <v>0</v>
      </c>
    </row>
    <row r="25" spans="1:34" s="289" customFormat="1" ht="21.75" customHeight="1">
      <c r="A25" s="3">
        <v>5604</v>
      </c>
      <c r="B25" s="367" t="s">
        <v>56</v>
      </c>
      <c r="C25" s="46">
        <v>150</v>
      </c>
      <c r="D25" s="49">
        <f t="shared" si="16"/>
        <v>8.853788536114603E-4</v>
      </c>
      <c r="E25" s="46">
        <v>150</v>
      </c>
      <c r="F25" s="49">
        <f t="shared" si="17"/>
        <v>1.1380189366351056E-3</v>
      </c>
      <c r="G25" s="46">
        <v>150</v>
      </c>
      <c r="H25" s="49">
        <f t="shared" si="18"/>
        <v>6.8605624944992154E-4</v>
      </c>
      <c r="I25" s="46">
        <v>150</v>
      </c>
      <c r="J25" s="49">
        <f t="shared" si="19"/>
        <v>7.769656902528177E-4</v>
      </c>
      <c r="K25" s="46">
        <v>150</v>
      </c>
      <c r="L25" s="49">
        <f t="shared" si="20"/>
        <v>8.495124654722473E-4</v>
      </c>
      <c r="M25" s="46">
        <v>150</v>
      </c>
      <c r="N25" s="49">
        <f t="shared" si="21"/>
        <v>5.9909785621611313E-4</v>
      </c>
      <c r="O25" s="46">
        <v>150</v>
      </c>
      <c r="P25" s="49">
        <f t="shared" si="22"/>
        <v>9.4627689203514943E-4</v>
      </c>
      <c r="Q25" s="46">
        <v>150</v>
      </c>
      <c r="R25" s="49">
        <f>Q25/Q$12</f>
        <v>7.6205777729687076E-4</v>
      </c>
      <c r="S25" s="46">
        <v>150</v>
      </c>
      <c r="T25" s="49">
        <f t="shared" si="23"/>
        <v>7.5647553569618592E-4</v>
      </c>
      <c r="U25" s="46">
        <v>150</v>
      </c>
      <c r="V25" s="49">
        <f t="shared" si="24"/>
        <v>9.5369302670299282E-4</v>
      </c>
      <c r="W25" s="46">
        <v>150</v>
      </c>
      <c r="X25" s="49">
        <f>W25/W$12</f>
        <v>9.3734430846404749E-4</v>
      </c>
      <c r="Y25" s="46">
        <v>150</v>
      </c>
      <c r="Z25" s="49">
        <f t="shared" si="25"/>
        <v>6.204851838128426E-4</v>
      </c>
      <c r="AA25" s="405">
        <f t="shared" si="26"/>
        <v>1800</v>
      </c>
      <c r="AB25" s="416">
        <f t="shared" si="27"/>
        <v>7.9908704761967576E-4</v>
      </c>
      <c r="AC25" s="407">
        <f t="shared" si="1"/>
        <v>150</v>
      </c>
      <c r="AD25" s="417">
        <f t="shared" si="28"/>
        <v>7.9908704761967576E-4</v>
      </c>
      <c r="AE25" s="214" t="s">
        <v>177</v>
      </c>
      <c r="AF25" s="54">
        <v>75</v>
      </c>
      <c r="AG25" s="289" t="s">
        <v>176</v>
      </c>
      <c r="AH25" s="21">
        <f t="shared" si="2"/>
        <v>763.5</v>
      </c>
    </row>
    <row r="26" spans="1:34" s="289" customFormat="1" ht="21.75" customHeight="1">
      <c r="A26" s="3">
        <v>5605</v>
      </c>
      <c r="B26" s="367" t="s">
        <v>14</v>
      </c>
      <c r="C26" s="46"/>
      <c r="D26" s="49">
        <f t="shared" si="16"/>
        <v>0</v>
      </c>
      <c r="E26" s="46"/>
      <c r="F26" s="49">
        <f t="shared" si="17"/>
        <v>0</v>
      </c>
      <c r="G26" s="46"/>
      <c r="H26" s="49">
        <f t="shared" si="18"/>
        <v>0</v>
      </c>
      <c r="I26" s="46"/>
      <c r="J26" s="49">
        <f t="shared" si="19"/>
        <v>0</v>
      </c>
      <c r="K26" s="46"/>
      <c r="L26" s="49">
        <f t="shared" si="20"/>
        <v>0</v>
      </c>
      <c r="M26" s="46"/>
      <c r="N26" s="49">
        <f t="shared" si="21"/>
        <v>0</v>
      </c>
      <c r="O26" s="46"/>
      <c r="P26" s="49">
        <f t="shared" si="22"/>
        <v>0</v>
      </c>
      <c r="Q26" s="46"/>
      <c r="R26" s="49">
        <f>Q26/Q$12</f>
        <v>0</v>
      </c>
      <c r="S26" s="46"/>
      <c r="T26" s="49">
        <f t="shared" si="23"/>
        <v>0</v>
      </c>
      <c r="U26" s="46"/>
      <c r="V26" s="49">
        <f t="shared" si="24"/>
        <v>0</v>
      </c>
      <c r="W26" s="46"/>
      <c r="X26" s="49">
        <f>W26/W$12</f>
        <v>0</v>
      </c>
      <c r="Y26" s="46"/>
      <c r="Z26" s="49">
        <f t="shared" si="25"/>
        <v>0</v>
      </c>
      <c r="AA26" s="405">
        <f t="shared" si="26"/>
        <v>0</v>
      </c>
      <c r="AB26" s="416">
        <f t="shared" si="27"/>
        <v>0</v>
      </c>
      <c r="AC26" s="407">
        <f t="shared" si="1"/>
        <v>0</v>
      </c>
      <c r="AD26" s="417">
        <f t="shared" si="28"/>
        <v>0</v>
      </c>
      <c r="AE26" s="214"/>
      <c r="AF26" s="54"/>
      <c r="AH26" s="21">
        <f t="shared" si="2"/>
        <v>0</v>
      </c>
    </row>
    <row r="27" spans="1:34" s="289" customFormat="1" ht="21.75" customHeight="1">
      <c r="A27" s="3">
        <v>5606</v>
      </c>
      <c r="B27" s="367" t="s">
        <v>77</v>
      </c>
      <c r="C27" s="46">
        <f>C16*0.36%</f>
        <v>609.90840000000003</v>
      </c>
      <c r="D27" s="49">
        <f t="shared" si="16"/>
        <v>3.6000000000000003E-3</v>
      </c>
      <c r="E27" s="46">
        <f>E16*0.36%</f>
        <v>474.50880000000001</v>
      </c>
      <c r="F27" s="49">
        <f t="shared" si="17"/>
        <v>3.5999999999999999E-3</v>
      </c>
      <c r="G27" s="46">
        <f>G16*0.36%</f>
        <v>787.10747177504879</v>
      </c>
      <c r="H27" s="49">
        <f t="shared" si="18"/>
        <v>3.5999999999999999E-3</v>
      </c>
      <c r="I27" s="46">
        <f>I16*0.36%</f>
        <v>695.01138438209387</v>
      </c>
      <c r="J27" s="49">
        <f t="shared" si="19"/>
        <v>3.5999999999999999E-3</v>
      </c>
      <c r="K27" s="46">
        <f>K16*0.36%</f>
        <v>635.65871243550487</v>
      </c>
      <c r="L27" s="49">
        <f t="shared" si="20"/>
        <v>3.5999999999999999E-3</v>
      </c>
      <c r="M27" s="46">
        <f>M16*0.36%</f>
        <v>901.35525339821163</v>
      </c>
      <c r="N27" s="49">
        <f t="shared" si="21"/>
        <v>3.5999999999999999E-3</v>
      </c>
      <c r="O27" s="46">
        <f>O16*0.36%</f>
        <v>570.65749417025995</v>
      </c>
      <c r="P27" s="49">
        <f t="shared" si="22"/>
        <v>3.5999999999999999E-3</v>
      </c>
      <c r="Q27" s="46">
        <f>Q16*0.36%</f>
        <v>708.60768840317871</v>
      </c>
      <c r="R27" s="49">
        <f>Q27/Q12</f>
        <v>3.5999999999999999E-3</v>
      </c>
      <c r="S27" s="46">
        <f>S16*0.36%</f>
        <v>713.83669995756964</v>
      </c>
      <c r="T27" s="49">
        <f t="shared" si="23"/>
        <v>3.5999999999999999E-3</v>
      </c>
      <c r="U27" s="46">
        <f>U16*0.36%</f>
        <v>566.21993123597758</v>
      </c>
      <c r="V27" s="49">
        <f t="shared" si="24"/>
        <v>3.5999999999999995E-3</v>
      </c>
      <c r="W27" s="46">
        <f>W16*0.36%</f>
        <v>576.09567276815881</v>
      </c>
      <c r="X27" s="49">
        <f>W27/W12</f>
        <v>3.6000000000000003E-3</v>
      </c>
      <c r="Y27" s="46">
        <f>Y16*0.36%</f>
        <v>870.28669513385285</v>
      </c>
      <c r="Z27" s="49">
        <f t="shared" si="25"/>
        <v>3.5999999999999999E-3</v>
      </c>
      <c r="AA27" s="405">
        <f t="shared" si="26"/>
        <v>8109.254203659857</v>
      </c>
      <c r="AB27" s="416">
        <f t="shared" si="27"/>
        <v>3.5999999999999999E-3</v>
      </c>
      <c r="AC27" s="407">
        <f t="shared" si="1"/>
        <v>675.77118363832142</v>
      </c>
      <c r="AD27" s="417">
        <f t="shared" si="28"/>
        <v>3.5999999999999999E-3</v>
      </c>
      <c r="AE27" s="214" t="s">
        <v>177</v>
      </c>
      <c r="AF27" s="54"/>
      <c r="AG27" s="289" t="s">
        <v>178</v>
      </c>
      <c r="AH27" s="21">
        <f t="shared" si="2"/>
        <v>3606.8131339721795</v>
      </c>
    </row>
    <row r="28" spans="1:34" s="289" customFormat="1" ht="21.75" customHeight="1">
      <c r="A28" s="3">
        <v>5607</v>
      </c>
      <c r="B28" s="367" t="s">
        <v>57</v>
      </c>
      <c r="C28" s="418"/>
      <c r="D28" s="415">
        <f t="shared" si="16"/>
        <v>0</v>
      </c>
      <c r="E28" s="418"/>
      <c r="F28" s="415">
        <f t="shared" si="17"/>
        <v>0</v>
      </c>
      <c r="G28" s="418"/>
      <c r="H28" s="415">
        <f t="shared" si="18"/>
        <v>0</v>
      </c>
      <c r="I28" s="418"/>
      <c r="J28" s="415">
        <f t="shared" si="19"/>
        <v>0</v>
      </c>
      <c r="K28" s="418"/>
      <c r="L28" s="415">
        <f t="shared" si="20"/>
        <v>0</v>
      </c>
      <c r="M28" s="418"/>
      <c r="N28" s="415">
        <f t="shared" si="21"/>
        <v>0</v>
      </c>
      <c r="O28" s="418"/>
      <c r="P28" s="415">
        <f t="shared" si="22"/>
        <v>0</v>
      </c>
      <c r="Q28" s="418"/>
      <c r="R28" s="415">
        <f t="shared" ref="R28:R34" si="29">Q28/Q$12</f>
        <v>0</v>
      </c>
      <c r="S28" s="418"/>
      <c r="T28" s="415">
        <f t="shared" si="23"/>
        <v>0</v>
      </c>
      <c r="U28" s="418"/>
      <c r="V28" s="415">
        <f t="shared" si="24"/>
        <v>0</v>
      </c>
      <c r="W28" s="418"/>
      <c r="X28" s="415">
        <f t="shared" ref="X28:X34" si="30">W28/W$12</f>
        <v>0</v>
      </c>
      <c r="Y28" s="418"/>
      <c r="Z28" s="415">
        <f t="shared" si="25"/>
        <v>0</v>
      </c>
      <c r="AA28" s="405">
        <f t="shared" si="26"/>
        <v>0</v>
      </c>
      <c r="AB28" s="416">
        <f t="shared" si="27"/>
        <v>0</v>
      </c>
      <c r="AC28" s="407">
        <f t="shared" si="1"/>
        <v>0</v>
      </c>
      <c r="AD28" s="417">
        <f t="shared" si="28"/>
        <v>0</v>
      </c>
      <c r="AE28" s="214"/>
      <c r="AF28" s="54"/>
      <c r="AH28" s="21">
        <f t="shared" si="2"/>
        <v>0</v>
      </c>
    </row>
    <row r="29" spans="1:34" s="289" customFormat="1" ht="21.75" customHeight="1">
      <c r="A29" s="3">
        <v>5608</v>
      </c>
      <c r="B29" s="367" t="s">
        <v>58</v>
      </c>
      <c r="C29" s="418"/>
      <c r="D29" s="415">
        <f t="shared" si="16"/>
        <v>0</v>
      </c>
      <c r="E29" s="418"/>
      <c r="F29" s="415">
        <f t="shared" si="17"/>
        <v>0</v>
      </c>
      <c r="G29" s="418"/>
      <c r="H29" s="415">
        <f t="shared" si="18"/>
        <v>0</v>
      </c>
      <c r="I29" s="418"/>
      <c r="J29" s="415">
        <f t="shared" si="19"/>
        <v>0</v>
      </c>
      <c r="K29" s="418"/>
      <c r="L29" s="415">
        <f t="shared" si="20"/>
        <v>0</v>
      </c>
      <c r="M29" s="418"/>
      <c r="N29" s="415">
        <f t="shared" si="21"/>
        <v>0</v>
      </c>
      <c r="O29" s="418"/>
      <c r="P29" s="415">
        <f t="shared" si="22"/>
        <v>0</v>
      </c>
      <c r="Q29" s="418"/>
      <c r="R29" s="415">
        <f t="shared" si="29"/>
        <v>0</v>
      </c>
      <c r="S29" s="418"/>
      <c r="T29" s="415">
        <f t="shared" si="23"/>
        <v>0</v>
      </c>
      <c r="U29" s="418"/>
      <c r="V29" s="415">
        <f t="shared" si="24"/>
        <v>0</v>
      </c>
      <c r="W29" s="418"/>
      <c r="X29" s="415">
        <f t="shared" si="30"/>
        <v>0</v>
      </c>
      <c r="Y29" s="418"/>
      <c r="Z29" s="415">
        <f t="shared" si="25"/>
        <v>0</v>
      </c>
      <c r="AA29" s="405">
        <f t="shared" si="26"/>
        <v>0</v>
      </c>
      <c r="AB29" s="416">
        <f t="shared" si="27"/>
        <v>0</v>
      </c>
      <c r="AC29" s="407">
        <f t="shared" si="1"/>
        <v>0</v>
      </c>
      <c r="AD29" s="417">
        <f t="shared" si="28"/>
        <v>0</v>
      </c>
      <c r="AE29" s="214"/>
      <c r="AF29" s="54"/>
      <c r="AH29" s="21">
        <f t="shared" si="2"/>
        <v>0</v>
      </c>
    </row>
    <row r="30" spans="1:34" s="289" customFormat="1" ht="21.75" customHeight="1">
      <c r="A30" s="3">
        <v>5609</v>
      </c>
      <c r="B30" s="367" t="s">
        <v>59</v>
      </c>
      <c r="C30" s="418"/>
      <c r="D30" s="415">
        <f t="shared" si="16"/>
        <v>0</v>
      </c>
      <c r="E30" s="418"/>
      <c r="F30" s="415">
        <f t="shared" si="17"/>
        <v>0</v>
      </c>
      <c r="G30" s="418"/>
      <c r="H30" s="415">
        <f t="shared" si="18"/>
        <v>0</v>
      </c>
      <c r="I30" s="418"/>
      <c r="J30" s="415">
        <f t="shared" si="19"/>
        <v>0</v>
      </c>
      <c r="K30" s="418"/>
      <c r="L30" s="415">
        <f t="shared" si="20"/>
        <v>0</v>
      </c>
      <c r="M30" s="418"/>
      <c r="N30" s="415">
        <f t="shared" si="21"/>
        <v>0</v>
      </c>
      <c r="O30" s="418"/>
      <c r="P30" s="415">
        <f t="shared" si="22"/>
        <v>0</v>
      </c>
      <c r="Q30" s="418"/>
      <c r="R30" s="415">
        <f t="shared" si="29"/>
        <v>0</v>
      </c>
      <c r="S30" s="418"/>
      <c r="T30" s="415">
        <f t="shared" si="23"/>
        <v>0</v>
      </c>
      <c r="U30" s="418"/>
      <c r="V30" s="415">
        <f t="shared" si="24"/>
        <v>0</v>
      </c>
      <c r="W30" s="418"/>
      <c r="X30" s="415">
        <f t="shared" si="30"/>
        <v>0</v>
      </c>
      <c r="Y30" s="418"/>
      <c r="Z30" s="415">
        <f t="shared" si="25"/>
        <v>0</v>
      </c>
      <c r="AA30" s="405">
        <f t="shared" si="26"/>
        <v>0</v>
      </c>
      <c r="AB30" s="416">
        <f t="shared" si="27"/>
        <v>0</v>
      </c>
      <c r="AC30" s="407">
        <f t="shared" si="1"/>
        <v>0</v>
      </c>
      <c r="AD30" s="417">
        <f t="shared" si="28"/>
        <v>0</v>
      </c>
      <c r="AE30" s="214"/>
      <c r="AF30" s="54"/>
      <c r="AH30" s="21">
        <f t="shared" si="2"/>
        <v>0</v>
      </c>
    </row>
    <row r="31" spans="1:34" s="289" customFormat="1" ht="21.75" customHeight="1">
      <c r="A31" s="3">
        <v>5610</v>
      </c>
      <c r="B31" s="367" t="s">
        <v>60</v>
      </c>
      <c r="C31" s="418"/>
      <c r="D31" s="415">
        <f t="shared" si="16"/>
        <v>0</v>
      </c>
      <c r="E31" s="418"/>
      <c r="F31" s="415">
        <f t="shared" si="17"/>
        <v>0</v>
      </c>
      <c r="G31" s="418"/>
      <c r="H31" s="415">
        <f t="shared" si="18"/>
        <v>0</v>
      </c>
      <c r="I31" s="418"/>
      <c r="J31" s="415">
        <f t="shared" si="19"/>
        <v>0</v>
      </c>
      <c r="K31" s="418"/>
      <c r="L31" s="415">
        <f t="shared" si="20"/>
        <v>0</v>
      </c>
      <c r="M31" s="418"/>
      <c r="N31" s="415">
        <f t="shared" si="21"/>
        <v>0</v>
      </c>
      <c r="O31" s="418"/>
      <c r="P31" s="415">
        <f t="shared" si="22"/>
        <v>0</v>
      </c>
      <c r="Q31" s="418"/>
      <c r="R31" s="415">
        <f t="shared" si="29"/>
        <v>0</v>
      </c>
      <c r="S31" s="418"/>
      <c r="T31" s="415">
        <f t="shared" si="23"/>
        <v>0</v>
      </c>
      <c r="U31" s="418"/>
      <c r="V31" s="415">
        <f t="shared" si="24"/>
        <v>0</v>
      </c>
      <c r="W31" s="418"/>
      <c r="X31" s="415">
        <f t="shared" si="30"/>
        <v>0</v>
      </c>
      <c r="Y31" s="418"/>
      <c r="Z31" s="415">
        <f t="shared" si="25"/>
        <v>0</v>
      </c>
      <c r="AA31" s="405">
        <f t="shared" si="26"/>
        <v>0</v>
      </c>
      <c r="AB31" s="416">
        <f t="shared" si="27"/>
        <v>0</v>
      </c>
      <c r="AC31" s="407">
        <f t="shared" si="1"/>
        <v>0</v>
      </c>
      <c r="AD31" s="417">
        <f t="shared" si="28"/>
        <v>0</v>
      </c>
      <c r="AE31" s="214"/>
      <c r="AF31" s="54"/>
      <c r="AH31" s="21">
        <f t="shared" si="2"/>
        <v>0</v>
      </c>
    </row>
    <row r="32" spans="1:34" s="289" customFormat="1" ht="21.75" customHeight="1">
      <c r="A32" s="3">
        <v>5611</v>
      </c>
      <c r="B32" s="367" t="s">
        <v>109</v>
      </c>
      <c r="C32" s="418"/>
      <c r="D32" s="415">
        <f t="shared" si="16"/>
        <v>0</v>
      </c>
      <c r="E32" s="418"/>
      <c r="F32" s="415">
        <f t="shared" si="17"/>
        <v>0</v>
      </c>
      <c r="G32" s="418"/>
      <c r="H32" s="415">
        <f t="shared" si="18"/>
        <v>0</v>
      </c>
      <c r="I32" s="418"/>
      <c r="J32" s="415">
        <f t="shared" si="19"/>
        <v>0</v>
      </c>
      <c r="K32" s="418"/>
      <c r="L32" s="415">
        <f t="shared" si="20"/>
        <v>0</v>
      </c>
      <c r="M32" s="418"/>
      <c r="N32" s="415">
        <f t="shared" si="21"/>
        <v>0</v>
      </c>
      <c r="O32" s="418"/>
      <c r="P32" s="415">
        <f t="shared" si="22"/>
        <v>0</v>
      </c>
      <c r="Q32" s="418"/>
      <c r="R32" s="415">
        <f t="shared" si="29"/>
        <v>0</v>
      </c>
      <c r="S32" s="418"/>
      <c r="T32" s="415">
        <f t="shared" si="23"/>
        <v>0</v>
      </c>
      <c r="U32" s="418"/>
      <c r="V32" s="415">
        <f t="shared" si="24"/>
        <v>0</v>
      </c>
      <c r="W32" s="418"/>
      <c r="X32" s="415">
        <f t="shared" si="30"/>
        <v>0</v>
      </c>
      <c r="Y32" s="418"/>
      <c r="Z32" s="415">
        <f t="shared" si="25"/>
        <v>0</v>
      </c>
      <c r="AA32" s="405">
        <f t="shared" si="26"/>
        <v>0</v>
      </c>
      <c r="AB32" s="416">
        <f t="shared" si="27"/>
        <v>0</v>
      </c>
      <c r="AC32" s="407">
        <f t="shared" si="1"/>
        <v>0</v>
      </c>
      <c r="AD32" s="417">
        <f t="shared" si="28"/>
        <v>0</v>
      </c>
      <c r="AE32" s="214"/>
      <c r="AF32" s="54"/>
      <c r="AH32" s="21">
        <f t="shared" si="2"/>
        <v>0</v>
      </c>
    </row>
    <row r="33" spans="1:34" s="289" customFormat="1" ht="21.75" customHeight="1">
      <c r="A33" s="3">
        <v>5612</v>
      </c>
      <c r="B33" s="367" t="s">
        <v>61</v>
      </c>
      <c r="C33" s="418"/>
      <c r="D33" s="415">
        <f t="shared" si="16"/>
        <v>0</v>
      </c>
      <c r="E33" s="418"/>
      <c r="F33" s="415">
        <f t="shared" si="17"/>
        <v>0</v>
      </c>
      <c r="G33" s="418"/>
      <c r="H33" s="415">
        <f t="shared" si="18"/>
        <v>0</v>
      </c>
      <c r="I33" s="418"/>
      <c r="J33" s="415">
        <f t="shared" si="19"/>
        <v>0</v>
      </c>
      <c r="K33" s="418"/>
      <c r="L33" s="415">
        <f t="shared" si="20"/>
        <v>0</v>
      </c>
      <c r="M33" s="418"/>
      <c r="N33" s="415">
        <f t="shared" si="21"/>
        <v>0</v>
      </c>
      <c r="O33" s="418"/>
      <c r="P33" s="415">
        <f t="shared" si="22"/>
        <v>0</v>
      </c>
      <c r="Q33" s="418"/>
      <c r="R33" s="415">
        <f t="shared" si="29"/>
        <v>0</v>
      </c>
      <c r="S33" s="418"/>
      <c r="T33" s="415">
        <f t="shared" si="23"/>
        <v>0</v>
      </c>
      <c r="U33" s="418"/>
      <c r="V33" s="415">
        <f t="shared" si="24"/>
        <v>0</v>
      </c>
      <c r="W33" s="418"/>
      <c r="X33" s="415">
        <f t="shared" si="30"/>
        <v>0</v>
      </c>
      <c r="Y33" s="418"/>
      <c r="Z33" s="415">
        <f t="shared" si="25"/>
        <v>0</v>
      </c>
      <c r="AA33" s="405">
        <f t="shared" si="26"/>
        <v>0</v>
      </c>
      <c r="AB33" s="416">
        <f t="shared" si="27"/>
        <v>0</v>
      </c>
      <c r="AC33" s="407">
        <f t="shared" si="1"/>
        <v>0</v>
      </c>
      <c r="AD33" s="417">
        <f t="shared" si="28"/>
        <v>0</v>
      </c>
      <c r="AE33" s="214"/>
      <c r="AF33" s="54"/>
      <c r="AH33" s="21">
        <f t="shared" si="2"/>
        <v>0</v>
      </c>
    </row>
    <row r="34" spans="1:34" s="289" customFormat="1" ht="21.75" customHeight="1">
      <c r="A34" s="3">
        <v>5613</v>
      </c>
      <c r="B34" s="367" t="s">
        <v>62</v>
      </c>
      <c r="C34" s="418"/>
      <c r="D34" s="415">
        <f t="shared" si="16"/>
        <v>0</v>
      </c>
      <c r="E34" s="418"/>
      <c r="F34" s="415">
        <f t="shared" si="17"/>
        <v>0</v>
      </c>
      <c r="G34" s="418"/>
      <c r="H34" s="415">
        <f t="shared" si="18"/>
        <v>0</v>
      </c>
      <c r="I34" s="418"/>
      <c r="J34" s="415">
        <f t="shared" si="19"/>
        <v>0</v>
      </c>
      <c r="K34" s="418"/>
      <c r="L34" s="415">
        <f t="shared" si="20"/>
        <v>0</v>
      </c>
      <c r="M34" s="418"/>
      <c r="N34" s="415">
        <f t="shared" si="21"/>
        <v>0</v>
      </c>
      <c r="O34" s="418"/>
      <c r="P34" s="415">
        <f t="shared" si="22"/>
        <v>0</v>
      </c>
      <c r="Q34" s="418"/>
      <c r="R34" s="415">
        <f t="shared" si="29"/>
        <v>0</v>
      </c>
      <c r="S34" s="418"/>
      <c r="T34" s="415">
        <f t="shared" si="23"/>
        <v>0</v>
      </c>
      <c r="U34" s="418"/>
      <c r="V34" s="415">
        <f t="shared" si="24"/>
        <v>0</v>
      </c>
      <c r="W34" s="418"/>
      <c r="X34" s="415">
        <f t="shared" si="30"/>
        <v>0</v>
      </c>
      <c r="Y34" s="418"/>
      <c r="Z34" s="415">
        <f t="shared" si="25"/>
        <v>0</v>
      </c>
      <c r="AA34" s="405">
        <f t="shared" si="26"/>
        <v>0</v>
      </c>
      <c r="AB34" s="416">
        <f t="shared" si="27"/>
        <v>0</v>
      </c>
      <c r="AC34" s="407">
        <f t="shared" si="1"/>
        <v>0</v>
      </c>
      <c r="AD34" s="417">
        <f t="shared" si="28"/>
        <v>0</v>
      </c>
      <c r="AE34" s="214"/>
      <c r="AF34" s="54"/>
      <c r="AH34" s="21">
        <f t="shared" si="2"/>
        <v>0</v>
      </c>
    </row>
    <row r="35" spans="1:34" s="289" customFormat="1" ht="21.75" customHeight="1">
      <c r="A35" s="9">
        <v>5699</v>
      </c>
      <c r="B35" s="369" t="s">
        <v>110</v>
      </c>
      <c r="C35" s="444">
        <f>SUM(C22:C34)</f>
        <v>759.90840000000003</v>
      </c>
      <c r="D35" s="445">
        <f>C35/C12</f>
        <v>4.4853788536114601E-3</v>
      </c>
      <c r="E35" s="444">
        <f>SUM(E22:E34)</f>
        <v>624.50880000000006</v>
      </c>
      <c r="F35" s="445">
        <f t="shared" si="17"/>
        <v>4.7380189366351064E-3</v>
      </c>
      <c r="G35" s="444">
        <f>SUM(G22:G34)</f>
        <v>937.10747177504879</v>
      </c>
      <c r="H35" s="445">
        <f>G35/G12</f>
        <v>4.2860562494499215E-3</v>
      </c>
      <c r="I35" s="444">
        <f>SUM(I22:I34)</f>
        <v>845.01138438209387</v>
      </c>
      <c r="J35" s="445">
        <f>I35/I12</f>
        <v>4.3769656902528176E-3</v>
      </c>
      <c r="K35" s="446">
        <f>SUM(K22:K34)</f>
        <v>785.65871243550487</v>
      </c>
      <c r="L35" s="445">
        <f>K35/K12</f>
        <v>4.4495124654722476E-3</v>
      </c>
      <c r="M35" s="446">
        <f>SUM(M22:M34)</f>
        <v>1051.3552533982115</v>
      </c>
      <c r="N35" s="445">
        <f>M35/M12</f>
        <v>4.1990978562161125E-3</v>
      </c>
      <c r="O35" s="446">
        <f>SUM(O22:O34)</f>
        <v>720.65749417025995</v>
      </c>
      <c r="P35" s="445">
        <f>O35/O12</f>
        <v>4.546276892035149E-3</v>
      </c>
      <c r="Q35" s="447">
        <f>SUM(Q22:Q34)</f>
        <v>858.60768840317871</v>
      </c>
      <c r="R35" s="445">
        <f>Q35/Q12</f>
        <v>4.3620577772968709E-3</v>
      </c>
      <c r="S35" s="447">
        <f>SUM(S22:S34)</f>
        <v>863.83669995756964</v>
      </c>
      <c r="T35" s="445">
        <f>S35/S12</f>
        <v>4.3564755356961856E-3</v>
      </c>
      <c r="U35" s="447">
        <f>SUM(U22:U34)</f>
        <v>716.21993123597758</v>
      </c>
      <c r="V35" s="445">
        <f>U35/U12</f>
        <v>4.5536930267029924E-3</v>
      </c>
      <c r="W35" s="447">
        <f>SUM(W22:W34)</f>
        <v>726.09567276815881</v>
      </c>
      <c r="X35" s="445">
        <f>W35/W12</f>
        <v>4.5373443084640482E-3</v>
      </c>
      <c r="Y35" s="447">
        <f>SUM(Y22:Y34)</f>
        <v>1020.2866951338528</v>
      </c>
      <c r="Z35" s="445">
        <f>Y35/Y12</f>
        <v>4.2204851838128429E-3</v>
      </c>
      <c r="AA35" s="448">
        <f>SUM(AA22:AA34)</f>
        <v>9909.254203659857</v>
      </c>
      <c r="AB35" s="449">
        <f>AA35/AA12</f>
        <v>4.3990870476196759E-3</v>
      </c>
      <c r="AC35" s="450">
        <f t="shared" si="1"/>
        <v>825.77118363832142</v>
      </c>
      <c r="AD35" s="451">
        <f>AC35/AC12</f>
        <v>4.3990870476196759E-3</v>
      </c>
      <c r="AE35" s="215"/>
      <c r="AF35" s="54"/>
      <c r="AH35" s="21">
        <f t="shared" si="2"/>
        <v>4370.3131339721795</v>
      </c>
    </row>
    <row r="36" spans="1:34" s="289" customFormat="1" ht="21.75" customHeight="1">
      <c r="A36" s="9">
        <v>5999</v>
      </c>
      <c r="B36" s="369" t="s">
        <v>111</v>
      </c>
      <c r="C36" s="444">
        <f>C21+C35</f>
        <v>87349.959300000002</v>
      </c>
      <c r="D36" s="445">
        <f>C36/C12</f>
        <v>0.51558537885361144</v>
      </c>
      <c r="E36" s="444">
        <f>E21+E35</f>
        <v>68242.012799999997</v>
      </c>
      <c r="F36" s="445">
        <f>E36/E12</f>
        <v>0.51773801893663507</v>
      </c>
      <c r="G36" s="444">
        <f>G21+G35</f>
        <v>122370.29908951452</v>
      </c>
      <c r="H36" s="445">
        <f>G36/G12</f>
        <v>0.55968605624944989</v>
      </c>
      <c r="I36" s="444">
        <f>I21+I35</f>
        <v>102355.28524774457</v>
      </c>
      <c r="J36" s="445">
        <f>I36/I12</f>
        <v>0.53017696569025274</v>
      </c>
      <c r="K36" s="446">
        <f>K21+K35</f>
        <v>80843.342106396027</v>
      </c>
      <c r="L36" s="445">
        <f>K36/K12</f>
        <v>0.45784951246547223</v>
      </c>
      <c r="M36" s="446">
        <f>M21+M35</f>
        <v>136930.65970317865</v>
      </c>
      <c r="N36" s="445">
        <f>M36/M12</f>
        <v>0.54689909785621627</v>
      </c>
      <c r="O36" s="446">
        <f>O21+O35</f>
        <v>83783.026090063649</v>
      </c>
      <c r="P36" s="445">
        <f>O36/O12</f>
        <v>0.52854627689203515</v>
      </c>
      <c r="Q36" s="444">
        <f>Q21+Q35</f>
        <v>114924.76197441488</v>
      </c>
      <c r="R36" s="445">
        <f>Q36/Q12</f>
        <v>0.58386205777729694</v>
      </c>
      <c r="S36" s="444">
        <f>S21+S35</f>
        <v>95942.919374861638</v>
      </c>
      <c r="T36" s="445">
        <f>S36/S12</f>
        <v>0.48385647553569622</v>
      </c>
      <c r="U36" s="444">
        <f>U21+U35</f>
        <v>75331.424202999246</v>
      </c>
      <c r="V36" s="445">
        <f>U36/U12</f>
        <v>0.47895369302670293</v>
      </c>
      <c r="W36" s="444">
        <f>W21+W35</f>
        <v>75538.51984474434</v>
      </c>
      <c r="X36" s="445">
        <f>W36/W12</f>
        <v>0.47203734430846411</v>
      </c>
      <c r="Y36" s="444">
        <f>Y21+Y35</f>
        <v>124866.91833876517</v>
      </c>
      <c r="Z36" s="445">
        <f>Y36/Y12</f>
        <v>0.51652048518381277</v>
      </c>
      <c r="AA36" s="448">
        <f>AA21+AA35</f>
        <v>1168479.1280726828</v>
      </c>
      <c r="AB36" s="449">
        <f>AA36/AA12</f>
        <v>0.51873140925378503</v>
      </c>
      <c r="AC36" s="450">
        <f t="shared" si="1"/>
        <v>97373.260672723569</v>
      </c>
      <c r="AD36" s="451">
        <f>AC36/AC12</f>
        <v>0.51873140925378503</v>
      </c>
      <c r="AE36" s="215"/>
      <c r="AF36" s="54"/>
      <c r="AH36" s="21">
        <f t="shared" si="2"/>
        <v>584967.0384497717</v>
      </c>
    </row>
    <row r="37" spans="1:34" s="289" customFormat="1" ht="21.75" customHeight="1" thickBot="1">
      <c r="A37" s="10"/>
      <c r="B37" s="370" t="s">
        <v>68</v>
      </c>
      <c r="C37" s="452">
        <f>(C16-C36)</f>
        <v>82069.040699999998</v>
      </c>
      <c r="D37" s="453">
        <f>C37/C12</f>
        <v>0.4844146211463885</v>
      </c>
      <c r="E37" s="452">
        <f>(E16-E36)</f>
        <v>63565.987200000003</v>
      </c>
      <c r="F37" s="454">
        <f>E37/E12</f>
        <v>0.48226198106336493</v>
      </c>
      <c r="G37" s="452">
        <f>(G16-G36)</f>
        <v>96270.665292443489</v>
      </c>
      <c r="H37" s="453">
        <f>G37/G12</f>
        <v>0.44031394375055011</v>
      </c>
      <c r="I37" s="452">
        <f>(I16-I36)</f>
        <v>90703.432636170401</v>
      </c>
      <c r="J37" s="454">
        <f>I37/I12</f>
        <v>0.46982303430974726</v>
      </c>
      <c r="K37" s="455">
        <f>(K16-K36)</f>
        <v>95728.522459021988</v>
      </c>
      <c r="L37" s="454">
        <f>K37/K12</f>
        <v>0.54215048753452777</v>
      </c>
      <c r="M37" s="455">
        <f>(M16-M36)</f>
        <v>113445.79957410236</v>
      </c>
      <c r="N37" s="454">
        <f>M37/M12</f>
        <v>0.45310090214378373</v>
      </c>
      <c r="O37" s="455">
        <f>(O16-O36)</f>
        <v>74732.944512786344</v>
      </c>
      <c r="P37" s="454">
        <f>O37/O12</f>
        <v>0.47145372310796491</v>
      </c>
      <c r="Q37" s="452">
        <f>(Q16-Q36)</f>
        <v>81910.70702646811</v>
      </c>
      <c r="R37" s="453">
        <f>Q37/Q12</f>
        <v>0.41613794222270306</v>
      </c>
      <c r="S37" s="452">
        <f>(S16-S36)</f>
        <v>102345.05283557437</v>
      </c>
      <c r="T37" s="454">
        <f>S37/S12</f>
        <v>0.51614352446430378</v>
      </c>
      <c r="U37" s="452">
        <f>(U16-U36)</f>
        <v>81951.890029216767</v>
      </c>
      <c r="V37" s="454">
        <f>U37/U12</f>
        <v>0.52104630697329701</v>
      </c>
      <c r="W37" s="452">
        <f>(W16-W36)</f>
        <v>84488.055924188651</v>
      </c>
      <c r="X37" s="453">
        <f>W37/W12</f>
        <v>0.52796265569153589</v>
      </c>
      <c r="Y37" s="452">
        <f>(Y16-Y36)</f>
        <v>116879.38586508283</v>
      </c>
      <c r="Z37" s="454">
        <f>Y37/Y12</f>
        <v>0.48347951481618723</v>
      </c>
      <c r="AA37" s="422">
        <f>(AA16-AA36)</f>
        <v>1084091.4840550553</v>
      </c>
      <c r="AB37" s="423">
        <f>AA37/AA12</f>
        <v>0.48126859074621497</v>
      </c>
      <c r="AC37" s="424">
        <f t="shared" si="1"/>
        <v>90340.957004587937</v>
      </c>
      <c r="AD37" s="425">
        <f>AC37/AC12</f>
        <v>0.48126859074621492</v>
      </c>
      <c r="AE37" s="223"/>
      <c r="AF37" s="219" t="s">
        <v>153</v>
      </c>
      <c r="AG37" s="209" t="s">
        <v>154</v>
      </c>
      <c r="AH37" s="21">
        <f t="shared" si="2"/>
        <v>416925.49876472267</v>
      </c>
    </row>
    <row r="38" spans="1:34" s="289" customFormat="1" ht="21.75" customHeight="1" thickTop="1">
      <c r="A38" s="2">
        <v>6002</v>
      </c>
      <c r="B38" s="371" t="s">
        <v>45</v>
      </c>
      <c r="C38" s="418"/>
      <c r="D38" s="415">
        <f t="shared" ref="D38:D50" si="31">C38/C$12</f>
        <v>0</v>
      </c>
      <c r="E38" s="418"/>
      <c r="F38" s="415">
        <f t="shared" ref="F38:F50" si="32">E38/E$12</f>
        <v>0</v>
      </c>
      <c r="G38" s="418"/>
      <c r="H38" s="415">
        <f t="shared" ref="H38:H50" si="33">G38/G$12</f>
        <v>0</v>
      </c>
      <c r="I38" s="418"/>
      <c r="J38" s="415">
        <f t="shared" ref="J38:J50" si="34">I38/I$12</f>
        <v>0</v>
      </c>
      <c r="K38" s="397"/>
      <c r="L38" s="415">
        <f t="shared" ref="L38:L50" si="35">K38/K$12</f>
        <v>0</v>
      </c>
      <c r="M38" s="397"/>
      <c r="N38" s="415">
        <f t="shared" ref="N38:N50" si="36">M38/M$12</f>
        <v>0</v>
      </c>
      <c r="O38" s="397"/>
      <c r="P38" s="415">
        <f>O38/O12</f>
        <v>0</v>
      </c>
      <c r="Q38" s="412"/>
      <c r="R38" s="415">
        <f t="shared" ref="R38:R50" si="37">Q38/Q$12</f>
        <v>0</v>
      </c>
      <c r="S38" s="412"/>
      <c r="T38" s="415">
        <f t="shared" ref="T38:T50" si="38">S38/S$12</f>
        <v>0</v>
      </c>
      <c r="U38" s="412"/>
      <c r="V38" s="415">
        <f>U38/U12</f>
        <v>0</v>
      </c>
      <c r="W38" s="412"/>
      <c r="X38" s="415">
        <f t="shared" ref="X38:X50" si="39">W38/W$12</f>
        <v>0</v>
      </c>
      <c r="Y38" s="412"/>
      <c r="Z38" s="415">
        <f t="shared" ref="Z38:Z50" si="40">Y38/Y$12</f>
        <v>0</v>
      </c>
      <c r="AA38" s="405">
        <f>C38+E38+G38+I38+K38+M38+O38+Q38+S38+U38+W38+Y38</f>
        <v>0</v>
      </c>
      <c r="AB38" s="416">
        <f t="shared" ref="AB38:AD93" si="41">AA38/AA$12</f>
        <v>0</v>
      </c>
      <c r="AC38" s="407">
        <f t="shared" si="1"/>
        <v>0</v>
      </c>
      <c r="AD38" s="417">
        <f t="shared" ref="AD38:AD93" si="42">AC38/AC$12</f>
        <v>0</v>
      </c>
      <c r="AE38" s="214"/>
      <c r="AF38" s="54"/>
      <c r="AH38" s="21">
        <f t="shared" si="2"/>
        <v>0</v>
      </c>
    </row>
    <row r="39" spans="1:34" s="289" customFormat="1" ht="21.75" customHeight="1">
      <c r="A39" s="2">
        <v>6003</v>
      </c>
      <c r="B39" s="371" t="s">
        <v>0</v>
      </c>
      <c r="C39" s="418"/>
      <c r="D39" s="415">
        <f t="shared" si="31"/>
        <v>0</v>
      </c>
      <c r="E39" s="418"/>
      <c r="F39" s="415">
        <f t="shared" si="32"/>
        <v>0</v>
      </c>
      <c r="G39" s="418"/>
      <c r="H39" s="415">
        <f t="shared" si="33"/>
        <v>0</v>
      </c>
      <c r="I39" s="418"/>
      <c r="J39" s="415">
        <f t="shared" si="34"/>
        <v>0</v>
      </c>
      <c r="K39" s="397"/>
      <c r="L39" s="415">
        <f t="shared" si="35"/>
        <v>0</v>
      </c>
      <c r="M39" s="397"/>
      <c r="N39" s="415">
        <f t="shared" si="36"/>
        <v>0</v>
      </c>
      <c r="O39" s="397"/>
      <c r="P39" s="415">
        <f t="shared" ref="P39" si="43">O39/O12</f>
        <v>0</v>
      </c>
      <c r="Q39" s="412"/>
      <c r="R39" s="415">
        <f t="shared" si="37"/>
        <v>0</v>
      </c>
      <c r="S39" s="412"/>
      <c r="T39" s="415">
        <f t="shared" si="38"/>
        <v>0</v>
      </c>
      <c r="U39" s="412"/>
      <c r="V39" s="415">
        <f t="shared" ref="V39" si="44">U39/U12</f>
        <v>0</v>
      </c>
      <c r="W39" s="412"/>
      <c r="X39" s="415">
        <f t="shared" si="39"/>
        <v>0</v>
      </c>
      <c r="Y39" s="412"/>
      <c r="Z39" s="415">
        <f t="shared" si="40"/>
        <v>0</v>
      </c>
      <c r="AA39" s="405">
        <f>C39+E39+G39+I39+K39+M39+O39+Q39+S39+U39+W39+Y39</f>
        <v>0</v>
      </c>
      <c r="AB39" s="416">
        <f t="shared" si="41"/>
        <v>0</v>
      </c>
      <c r="AC39" s="407">
        <f t="shared" si="1"/>
        <v>0</v>
      </c>
      <c r="AD39" s="417">
        <f t="shared" si="42"/>
        <v>0</v>
      </c>
      <c r="AE39" s="214"/>
      <c r="AF39" s="54"/>
      <c r="AH39" s="21">
        <f t="shared" si="2"/>
        <v>0</v>
      </c>
    </row>
    <row r="40" spans="1:34" s="289" customFormat="1" ht="21.75" customHeight="1">
      <c r="A40" s="2">
        <v>6004</v>
      </c>
      <c r="B40" s="371" t="s">
        <v>1</v>
      </c>
      <c r="C40" s="418"/>
      <c r="D40" s="415">
        <f t="shared" si="31"/>
        <v>0</v>
      </c>
      <c r="E40" s="418"/>
      <c r="F40" s="415">
        <f t="shared" si="32"/>
        <v>0</v>
      </c>
      <c r="G40" s="418"/>
      <c r="H40" s="415">
        <f t="shared" si="33"/>
        <v>0</v>
      </c>
      <c r="I40" s="418"/>
      <c r="J40" s="415">
        <f t="shared" si="34"/>
        <v>0</v>
      </c>
      <c r="K40" s="397"/>
      <c r="L40" s="415">
        <f t="shared" si="35"/>
        <v>0</v>
      </c>
      <c r="M40" s="397"/>
      <c r="N40" s="415">
        <f t="shared" si="36"/>
        <v>0</v>
      </c>
      <c r="O40" s="397"/>
      <c r="P40" s="415">
        <f>O40/O16</f>
        <v>0</v>
      </c>
      <c r="Q40" s="412"/>
      <c r="R40" s="415">
        <f t="shared" si="37"/>
        <v>0</v>
      </c>
      <c r="S40" s="412"/>
      <c r="T40" s="415">
        <f t="shared" si="38"/>
        <v>0</v>
      </c>
      <c r="U40" s="412"/>
      <c r="V40" s="415">
        <f>U40/U16</f>
        <v>0</v>
      </c>
      <c r="W40" s="412"/>
      <c r="X40" s="415">
        <f t="shared" si="39"/>
        <v>0</v>
      </c>
      <c r="Y40" s="412"/>
      <c r="Z40" s="415">
        <f t="shared" si="40"/>
        <v>0</v>
      </c>
      <c r="AA40" s="405">
        <f>C40+E40+G40+I40+K40+M40+O40+Q40+S40+U40+W40+Y40</f>
        <v>0</v>
      </c>
      <c r="AB40" s="416">
        <f t="shared" si="41"/>
        <v>0</v>
      </c>
      <c r="AC40" s="407">
        <f t="shared" si="1"/>
        <v>0</v>
      </c>
      <c r="AD40" s="417">
        <f t="shared" si="42"/>
        <v>0</v>
      </c>
      <c r="AE40" s="214"/>
      <c r="AF40" s="54"/>
      <c r="AH40" s="21">
        <f t="shared" si="2"/>
        <v>0</v>
      </c>
    </row>
    <row r="41" spans="1:34" s="289" customFormat="1" ht="21.75" customHeight="1" thickBot="1">
      <c r="A41" s="53">
        <v>6099</v>
      </c>
      <c r="B41" s="372" t="s">
        <v>112</v>
      </c>
      <c r="C41" s="457">
        <f>SUM(C38:C40)</f>
        <v>0</v>
      </c>
      <c r="D41" s="458">
        <f t="shared" si="31"/>
        <v>0</v>
      </c>
      <c r="E41" s="457">
        <f>SUM(E38:E40)</f>
        <v>0</v>
      </c>
      <c r="F41" s="458">
        <f t="shared" si="32"/>
        <v>0</v>
      </c>
      <c r="G41" s="457">
        <f>SUM(G38:G40)</f>
        <v>0</v>
      </c>
      <c r="H41" s="458">
        <f t="shared" si="33"/>
        <v>0</v>
      </c>
      <c r="I41" s="457">
        <f>SUM(I38:I40)</f>
        <v>0</v>
      </c>
      <c r="J41" s="458">
        <f t="shared" si="34"/>
        <v>0</v>
      </c>
      <c r="K41" s="459">
        <f>SUM(K38:K40)</f>
        <v>0</v>
      </c>
      <c r="L41" s="458">
        <f t="shared" si="35"/>
        <v>0</v>
      </c>
      <c r="M41" s="459">
        <f>SUM(M38:M40)</f>
        <v>0</v>
      </c>
      <c r="N41" s="458">
        <f t="shared" si="36"/>
        <v>0</v>
      </c>
      <c r="O41" s="459">
        <f>SUM(O38:O40)</f>
        <v>0</v>
      </c>
      <c r="P41" s="458">
        <f t="shared" ref="P41:P50" si="45">O41/O$12</f>
        <v>0</v>
      </c>
      <c r="Q41" s="460">
        <f>SUM(Q38:Q40)</f>
        <v>0</v>
      </c>
      <c r="R41" s="458">
        <f t="shared" si="37"/>
        <v>0</v>
      </c>
      <c r="S41" s="460">
        <f>SUM(S38:S40)</f>
        <v>0</v>
      </c>
      <c r="T41" s="458">
        <f t="shared" si="38"/>
        <v>0</v>
      </c>
      <c r="U41" s="460">
        <f>SUM(U38:U40)</f>
        <v>0</v>
      </c>
      <c r="V41" s="458">
        <f t="shared" ref="V41:V50" si="46">U41/U$12</f>
        <v>0</v>
      </c>
      <c r="W41" s="460">
        <f>SUM(W38:W40)</f>
        <v>0</v>
      </c>
      <c r="X41" s="458">
        <f t="shared" si="39"/>
        <v>0</v>
      </c>
      <c r="Y41" s="460">
        <f>SUM(Y38:Y40)</f>
        <v>0</v>
      </c>
      <c r="Z41" s="458">
        <f t="shared" si="40"/>
        <v>0</v>
      </c>
      <c r="AA41" s="422">
        <f>SUM(AA38:AA40)</f>
        <v>0</v>
      </c>
      <c r="AB41" s="461">
        <f t="shared" si="41"/>
        <v>0</v>
      </c>
      <c r="AC41" s="424">
        <f t="shared" si="1"/>
        <v>0</v>
      </c>
      <c r="AD41" s="461">
        <f t="shared" si="42"/>
        <v>0</v>
      </c>
      <c r="AE41" s="227"/>
      <c r="AF41" s="219"/>
      <c r="AG41" s="209"/>
      <c r="AH41" s="21">
        <f t="shared" si="2"/>
        <v>0</v>
      </c>
    </row>
    <row r="42" spans="1:34" s="289" customFormat="1" ht="21.75" customHeight="1" thickTop="1">
      <c r="A42" s="128">
        <v>6101</v>
      </c>
      <c r="B42" s="371" t="s">
        <v>2</v>
      </c>
      <c r="C42" s="418">
        <v>34458.332999999999</v>
      </c>
      <c r="D42" s="415">
        <f t="shared" si="31"/>
        <v>0.20339119579267967</v>
      </c>
      <c r="E42" s="418">
        <v>34458.332999999999</v>
      </c>
      <c r="F42" s="415">
        <f t="shared" si="32"/>
        <v>0.26142823652585578</v>
      </c>
      <c r="G42" s="418">
        <v>34458.332999999999</v>
      </c>
      <c r="H42" s="415">
        <f t="shared" si="33"/>
        <v>0.15760236466850974</v>
      </c>
      <c r="I42" s="418">
        <v>34458.332999999999</v>
      </c>
      <c r="J42" s="415">
        <f t="shared" si="34"/>
        <v>0.17848628322870963</v>
      </c>
      <c r="K42" s="418">
        <v>34458.332999999999</v>
      </c>
      <c r="L42" s="415">
        <f t="shared" si="35"/>
        <v>0.19515188948595799</v>
      </c>
      <c r="M42" s="418">
        <v>34458.332999999999</v>
      </c>
      <c r="N42" s="415">
        <f t="shared" si="36"/>
        <v>0.13762608952720629</v>
      </c>
      <c r="O42" s="418">
        <v>34458.332999999999</v>
      </c>
      <c r="P42" s="415">
        <f t="shared" si="45"/>
        <v>0.21738082837301484</v>
      </c>
      <c r="Q42" s="418">
        <v>34458.332999999999</v>
      </c>
      <c r="R42" s="415">
        <f t="shared" si="37"/>
        <v>0.17506160436890275</v>
      </c>
      <c r="S42" s="418">
        <v>34458.332999999999</v>
      </c>
      <c r="T42" s="415">
        <f t="shared" si="38"/>
        <v>0.17377923943581705</v>
      </c>
      <c r="U42" s="418">
        <v>34458.332999999999</v>
      </c>
      <c r="V42" s="415">
        <f t="shared" si="46"/>
        <v>0.21908447929273078</v>
      </c>
      <c r="W42" s="418">
        <v>34458.332999999999</v>
      </c>
      <c r="X42" s="415">
        <f t="shared" si="39"/>
        <v>0.21532881544472579</v>
      </c>
      <c r="Y42" s="418">
        <v>34458.332999999999</v>
      </c>
      <c r="Z42" s="415">
        <f t="shared" si="40"/>
        <v>0.14253923390259426</v>
      </c>
      <c r="AA42" s="405">
        <f t="shared" ref="AA42:AA75" si="47">C42+E42+G42+I42+K42+M42+O42+Q42+S42+U42+W42+Y42</f>
        <v>413499.99599999987</v>
      </c>
      <c r="AB42" s="416">
        <f t="shared" si="41"/>
        <v>0.18356805055243758</v>
      </c>
      <c r="AC42" s="407">
        <f t="shared" si="1"/>
        <v>34458.332999999991</v>
      </c>
      <c r="AD42" s="417">
        <f t="shared" si="42"/>
        <v>0.18356805055243758</v>
      </c>
      <c r="AE42" s="214"/>
      <c r="AF42" s="54"/>
      <c r="AH42" s="21">
        <f t="shared" si="2"/>
        <v>175392.91496999998</v>
      </c>
    </row>
    <row r="43" spans="1:34" s="289" customFormat="1" ht="21.75" customHeight="1">
      <c r="A43" s="128">
        <v>6102</v>
      </c>
      <c r="B43" s="371" t="s">
        <v>3</v>
      </c>
      <c r="C43" s="402">
        <v>7000</v>
      </c>
      <c r="D43" s="415">
        <f t="shared" si="31"/>
        <v>4.131767983520148E-2</v>
      </c>
      <c r="E43" s="402">
        <v>7000</v>
      </c>
      <c r="F43" s="415">
        <f t="shared" si="32"/>
        <v>5.3107550376304928E-2</v>
      </c>
      <c r="G43" s="402">
        <v>7000</v>
      </c>
      <c r="H43" s="415">
        <f t="shared" si="33"/>
        <v>3.2015958307663003E-2</v>
      </c>
      <c r="I43" s="402">
        <v>7000</v>
      </c>
      <c r="J43" s="415">
        <f t="shared" si="34"/>
        <v>3.6258398878464826E-2</v>
      </c>
      <c r="K43" s="402">
        <v>7000</v>
      </c>
      <c r="L43" s="415">
        <f t="shared" si="35"/>
        <v>3.9643915055371542E-2</v>
      </c>
      <c r="M43" s="402">
        <v>7000</v>
      </c>
      <c r="N43" s="415">
        <f t="shared" si="36"/>
        <v>2.7957899956751946E-2</v>
      </c>
      <c r="O43" s="402">
        <v>7000</v>
      </c>
      <c r="P43" s="415">
        <f t="shared" si="45"/>
        <v>4.4159588294973642E-2</v>
      </c>
      <c r="Q43" s="402">
        <v>7000</v>
      </c>
      <c r="R43" s="415">
        <f t="shared" si="37"/>
        <v>3.5562696273853972E-2</v>
      </c>
      <c r="S43" s="402">
        <v>7000</v>
      </c>
      <c r="T43" s="415">
        <f t="shared" si="38"/>
        <v>3.5302191665822005E-2</v>
      </c>
      <c r="U43" s="402">
        <v>7000</v>
      </c>
      <c r="V43" s="415">
        <f t="shared" si="46"/>
        <v>4.4505674579472999E-2</v>
      </c>
      <c r="W43" s="402">
        <v>7000</v>
      </c>
      <c r="X43" s="415">
        <f t="shared" si="39"/>
        <v>4.3742734394988887E-2</v>
      </c>
      <c r="Y43" s="402">
        <v>7000</v>
      </c>
      <c r="Z43" s="415">
        <f t="shared" si="40"/>
        <v>2.8955975244599322E-2</v>
      </c>
      <c r="AA43" s="405">
        <f t="shared" si="47"/>
        <v>84000</v>
      </c>
      <c r="AB43" s="416">
        <f t="shared" si="41"/>
        <v>3.7290728888918205E-2</v>
      </c>
      <c r="AC43" s="407">
        <f t="shared" si="1"/>
        <v>7000</v>
      </c>
      <c r="AD43" s="417">
        <f t="shared" si="42"/>
        <v>3.7290728888918205E-2</v>
      </c>
      <c r="AE43" s="214"/>
      <c r="AF43" s="54"/>
      <c r="AH43" s="21">
        <f t="shared" si="2"/>
        <v>35630</v>
      </c>
    </row>
    <row r="44" spans="1:34" s="289" customFormat="1" ht="21.75" customHeight="1">
      <c r="A44" s="128">
        <v>6103</v>
      </c>
      <c r="B44" s="371" t="s">
        <v>4</v>
      </c>
      <c r="C44" s="418"/>
      <c r="D44" s="415">
        <f t="shared" si="31"/>
        <v>0</v>
      </c>
      <c r="E44" s="418"/>
      <c r="F44" s="415">
        <f t="shared" si="32"/>
        <v>0</v>
      </c>
      <c r="G44" s="363"/>
      <c r="H44" s="415">
        <f t="shared" si="33"/>
        <v>0</v>
      </c>
      <c r="I44" s="418"/>
      <c r="J44" s="415">
        <f t="shared" si="34"/>
        <v>0</v>
      </c>
      <c r="K44" s="418"/>
      <c r="L44" s="415">
        <f t="shared" si="35"/>
        <v>0</v>
      </c>
      <c r="M44" s="462"/>
      <c r="N44" s="415">
        <f t="shared" si="36"/>
        <v>0</v>
      </c>
      <c r="O44" s="462"/>
      <c r="P44" s="415">
        <f t="shared" si="45"/>
        <v>0</v>
      </c>
      <c r="Q44" s="462">
        <v>0</v>
      </c>
      <c r="R44" s="415">
        <f t="shared" si="37"/>
        <v>0</v>
      </c>
      <c r="S44" s="462">
        <v>0</v>
      </c>
      <c r="T44" s="415">
        <f t="shared" si="38"/>
        <v>0</v>
      </c>
      <c r="U44" s="462">
        <v>0</v>
      </c>
      <c r="V44" s="415">
        <f t="shared" si="46"/>
        <v>0</v>
      </c>
      <c r="W44" s="462">
        <v>0</v>
      </c>
      <c r="X44" s="415">
        <f t="shared" si="39"/>
        <v>0</v>
      </c>
      <c r="Y44" s="462">
        <v>0</v>
      </c>
      <c r="Z44" s="415">
        <f t="shared" si="40"/>
        <v>0</v>
      </c>
      <c r="AA44" s="405">
        <f t="shared" si="47"/>
        <v>0</v>
      </c>
      <c r="AB44" s="416">
        <f t="shared" si="41"/>
        <v>0</v>
      </c>
      <c r="AC44" s="463">
        <f t="shared" si="1"/>
        <v>0</v>
      </c>
      <c r="AD44" s="417">
        <f t="shared" si="42"/>
        <v>0</v>
      </c>
      <c r="AE44" s="214"/>
      <c r="AF44" s="54"/>
      <c r="AH44" s="21">
        <f t="shared" si="2"/>
        <v>0</v>
      </c>
    </row>
    <row r="45" spans="1:34" s="289" customFormat="1" ht="21.75" customHeight="1">
      <c r="A45" s="128">
        <v>6104</v>
      </c>
      <c r="B45" s="373" t="s">
        <v>5</v>
      </c>
      <c r="C45" s="55">
        <v>300</v>
      </c>
      <c r="D45" s="49">
        <f t="shared" si="31"/>
        <v>1.7707577072229206E-3</v>
      </c>
      <c r="E45" s="55">
        <v>300</v>
      </c>
      <c r="F45" s="49">
        <f t="shared" si="32"/>
        <v>2.2760378732702112E-3</v>
      </c>
      <c r="G45" s="55">
        <v>300</v>
      </c>
      <c r="H45" s="49">
        <f t="shared" si="33"/>
        <v>1.3721124988998431E-3</v>
      </c>
      <c r="I45" s="55">
        <v>300</v>
      </c>
      <c r="J45" s="49">
        <f t="shared" si="34"/>
        <v>1.5539313805056354E-3</v>
      </c>
      <c r="K45" s="55">
        <v>300</v>
      </c>
      <c r="L45" s="49">
        <f t="shared" si="35"/>
        <v>1.6990249309444946E-3</v>
      </c>
      <c r="M45" s="55">
        <v>300</v>
      </c>
      <c r="N45" s="49">
        <f t="shared" si="36"/>
        <v>1.1981957124322263E-3</v>
      </c>
      <c r="O45" s="55">
        <v>300</v>
      </c>
      <c r="P45" s="49">
        <f t="shared" si="45"/>
        <v>1.8925537840702989E-3</v>
      </c>
      <c r="Q45" s="55">
        <v>300</v>
      </c>
      <c r="R45" s="49">
        <f t="shared" si="37"/>
        <v>1.5241155545937415E-3</v>
      </c>
      <c r="S45" s="55">
        <v>300</v>
      </c>
      <c r="T45" s="49">
        <f t="shared" si="38"/>
        <v>1.5129510713923718E-3</v>
      </c>
      <c r="U45" s="55">
        <v>300</v>
      </c>
      <c r="V45" s="49">
        <f t="shared" si="46"/>
        <v>1.9073860534059856E-3</v>
      </c>
      <c r="W45" s="55">
        <v>300</v>
      </c>
      <c r="X45" s="49">
        <f t="shared" si="39"/>
        <v>1.874688616928095E-3</v>
      </c>
      <c r="Y45" s="55">
        <v>300</v>
      </c>
      <c r="Z45" s="49">
        <f t="shared" si="40"/>
        <v>1.2409703676256852E-3</v>
      </c>
      <c r="AA45" s="405">
        <f t="shared" si="47"/>
        <v>3600</v>
      </c>
      <c r="AB45" s="416">
        <f t="shared" si="41"/>
        <v>1.5981740952393515E-3</v>
      </c>
      <c r="AC45" s="407">
        <f t="shared" si="1"/>
        <v>300</v>
      </c>
      <c r="AD45" s="417">
        <f t="shared" si="42"/>
        <v>1.5981740952393515E-3</v>
      </c>
      <c r="AE45" s="214"/>
      <c r="AF45" s="54"/>
      <c r="AG45" s="5"/>
      <c r="AH45" s="21">
        <f t="shared" si="2"/>
        <v>1527</v>
      </c>
    </row>
    <row r="46" spans="1:34" s="289" customFormat="1" ht="21.75" customHeight="1">
      <c r="A46" s="128">
        <v>6105</v>
      </c>
      <c r="B46" s="371" t="s">
        <v>39</v>
      </c>
      <c r="C46" s="280">
        <v>750</v>
      </c>
      <c r="D46" s="108">
        <f t="shared" si="31"/>
        <v>4.4268942680573018E-3</v>
      </c>
      <c r="E46" s="280">
        <v>750</v>
      </c>
      <c r="F46" s="108">
        <f t="shared" si="32"/>
        <v>5.690094683175528E-3</v>
      </c>
      <c r="G46" s="280">
        <v>750</v>
      </c>
      <c r="H46" s="108">
        <f t="shared" si="33"/>
        <v>3.4302812472496078E-3</v>
      </c>
      <c r="I46" s="280">
        <v>750</v>
      </c>
      <c r="J46" s="108">
        <f t="shared" si="34"/>
        <v>3.8848284512640885E-3</v>
      </c>
      <c r="K46" s="280">
        <v>750</v>
      </c>
      <c r="L46" s="108">
        <f t="shared" si="35"/>
        <v>4.2475623273612369E-3</v>
      </c>
      <c r="M46" s="280">
        <v>750</v>
      </c>
      <c r="N46" s="108">
        <f t="shared" si="36"/>
        <v>2.9954892810805656E-3</v>
      </c>
      <c r="O46" s="280">
        <v>750</v>
      </c>
      <c r="P46" s="108">
        <f t="shared" si="45"/>
        <v>4.7313844601757473E-3</v>
      </c>
      <c r="Q46" s="280">
        <v>750</v>
      </c>
      <c r="R46" s="108">
        <f t="shared" si="37"/>
        <v>3.8102888864843536E-3</v>
      </c>
      <c r="S46" s="280">
        <v>750</v>
      </c>
      <c r="T46" s="108">
        <f t="shared" si="38"/>
        <v>3.7823776784809294E-3</v>
      </c>
      <c r="U46" s="280">
        <v>750</v>
      </c>
      <c r="V46" s="108">
        <f t="shared" si="46"/>
        <v>4.7684651335149642E-3</v>
      </c>
      <c r="W46" s="280">
        <v>750</v>
      </c>
      <c r="X46" s="144">
        <f t="shared" si="39"/>
        <v>4.6867215423202378E-3</v>
      </c>
      <c r="Y46" s="280">
        <v>750</v>
      </c>
      <c r="Z46" s="49">
        <f t="shared" si="40"/>
        <v>3.102425919064213E-3</v>
      </c>
      <c r="AA46" s="405">
        <f t="shared" si="47"/>
        <v>9000</v>
      </c>
      <c r="AB46" s="416">
        <f t="shared" si="41"/>
        <v>3.995435238098379E-3</v>
      </c>
      <c r="AC46" s="407">
        <f t="shared" si="1"/>
        <v>750</v>
      </c>
      <c r="AD46" s="417">
        <f t="shared" si="42"/>
        <v>3.995435238098379E-3</v>
      </c>
      <c r="AE46" s="214"/>
      <c r="AF46" s="54"/>
      <c r="AG46" s="5"/>
      <c r="AH46" s="21">
        <f t="shared" si="2"/>
        <v>3817.5</v>
      </c>
    </row>
    <row r="47" spans="1:34" s="289" customFormat="1" ht="21.75" customHeight="1">
      <c r="A47" s="128">
        <v>6106</v>
      </c>
      <c r="B47" s="371" t="s">
        <v>6</v>
      </c>
      <c r="C47" s="402"/>
      <c r="D47" s="415">
        <f t="shared" si="31"/>
        <v>0</v>
      </c>
      <c r="E47" s="402"/>
      <c r="F47" s="415">
        <f t="shared" si="32"/>
        <v>0</v>
      </c>
      <c r="G47" s="363"/>
      <c r="H47" s="415">
        <f t="shared" si="33"/>
        <v>0</v>
      </c>
      <c r="I47" s="402"/>
      <c r="J47" s="415">
        <f t="shared" si="34"/>
        <v>0</v>
      </c>
      <c r="K47" s="402"/>
      <c r="L47" s="415">
        <f t="shared" si="35"/>
        <v>0</v>
      </c>
      <c r="M47" s="464"/>
      <c r="N47" s="415">
        <f t="shared" si="36"/>
        <v>0</v>
      </c>
      <c r="O47" s="464"/>
      <c r="P47" s="415">
        <f t="shared" si="45"/>
        <v>0</v>
      </c>
      <c r="Q47" s="464"/>
      <c r="R47" s="415">
        <f t="shared" si="37"/>
        <v>0</v>
      </c>
      <c r="S47" s="464">
        <v>0</v>
      </c>
      <c r="T47" s="415">
        <f t="shared" si="38"/>
        <v>0</v>
      </c>
      <c r="U47" s="464">
        <v>0</v>
      </c>
      <c r="V47" s="415">
        <f t="shared" si="46"/>
        <v>0</v>
      </c>
      <c r="W47" s="464">
        <v>0</v>
      </c>
      <c r="X47" s="415">
        <f t="shared" si="39"/>
        <v>0</v>
      </c>
      <c r="Y47" s="464">
        <v>0</v>
      </c>
      <c r="Z47" s="415">
        <f t="shared" si="40"/>
        <v>0</v>
      </c>
      <c r="AA47" s="405">
        <f t="shared" si="47"/>
        <v>0</v>
      </c>
      <c r="AB47" s="416">
        <f t="shared" si="41"/>
        <v>0</v>
      </c>
      <c r="AC47" s="407">
        <f t="shared" si="1"/>
        <v>0</v>
      </c>
      <c r="AD47" s="417">
        <f t="shared" si="42"/>
        <v>0</v>
      </c>
      <c r="AE47" s="214"/>
      <c r="AF47" s="54"/>
      <c r="AH47" s="21">
        <f t="shared" si="2"/>
        <v>0</v>
      </c>
    </row>
    <row r="48" spans="1:34" s="289" customFormat="1" ht="21.75" customHeight="1">
      <c r="A48" s="128">
        <v>6107</v>
      </c>
      <c r="B48" s="371" t="s">
        <v>7</v>
      </c>
      <c r="C48" s="402"/>
      <c r="D48" s="415">
        <f t="shared" si="31"/>
        <v>0</v>
      </c>
      <c r="E48" s="402"/>
      <c r="F48" s="415">
        <f t="shared" si="32"/>
        <v>0</v>
      </c>
      <c r="G48" s="363"/>
      <c r="H48" s="415">
        <f t="shared" si="33"/>
        <v>0</v>
      </c>
      <c r="I48" s="402"/>
      <c r="J48" s="415">
        <f t="shared" si="34"/>
        <v>0</v>
      </c>
      <c r="K48" s="402"/>
      <c r="L48" s="415">
        <f t="shared" si="35"/>
        <v>0</v>
      </c>
      <c r="M48" s="464"/>
      <c r="N48" s="415">
        <f t="shared" si="36"/>
        <v>0</v>
      </c>
      <c r="O48" s="464"/>
      <c r="P48" s="415">
        <f t="shared" si="45"/>
        <v>0</v>
      </c>
      <c r="Q48" s="464">
        <v>0</v>
      </c>
      <c r="R48" s="415">
        <f t="shared" si="37"/>
        <v>0</v>
      </c>
      <c r="S48" s="464">
        <v>0</v>
      </c>
      <c r="T48" s="415">
        <f t="shared" si="38"/>
        <v>0</v>
      </c>
      <c r="U48" s="464">
        <v>0</v>
      </c>
      <c r="V48" s="415">
        <f t="shared" si="46"/>
        <v>0</v>
      </c>
      <c r="W48" s="464">
        <v>0</v>
      </c>
      <c r="X48" s="415">
        <f t="shared" si="39"/>
        <v>0</v>
      </c>
      <c r="Y48" s="464">
        <v>0</v>
      </c>
      <c r="Z48" s="415">
        <f t="shared" si="40"/>
        <v>0</v>
      </c>
      <c r="AA48" s="405">
        <f t="shared" si="47"/>
        <v>0</v>
      </c>
      <c r="AB48" s="416">
        <f t="shared" si="41"/>
        <v>0</v>
      </c>
      <c r="AC48" s="407">
        <f t="shared" si="1"/>
        <v>0</v>
      </c>
      <c r="AD48" s="417">
        <f t="shared" si="42"/>
        <v>0</v>
      </c>
      <c r="AE48" s="214"/>
      <c r="AF48" s="54"/>
      <c r="AH48" s="21">
        <f t="shared" si="2"/>
        <v>0</v>
      </c>
    </row>
    <row r="49" spans="1:34" s="289" customFormat="1" ht="21.75" customHeight="1">
      <c r="A49" s="128">
        <v>6108</v>
      </c>
      <c r="B49" s="374" t="s">
        <v>8</v>
      </c>
      <c r="C49" s="402"/>
      <c r="D49" s="415">
        <f t="shared" si="31"/>
        <v>0</v>
      </c>
      <c r="E49" s="402"/>
      <c r="F49" s="415">
        <f t="shared" si="32"/>
        <v>0</v>
      </c>
      <c r="G49" s="363"/>
      <c r="H49" s="415">
        <f t="shared" si="33"/>
        <v>0</v>
      </c>
      <c r="I49" s="402"/>
      <c r="J49" s="415">
        <f t="shared" si="34"/>
        <v>0</v>
      </c>
      <c r="K49" s="402"/>
      <c r="L49" s="415">
        <f t="shared" si="35"/>
        <v>0</v>
      </c>
      <c r="M49" s="464"/>
      <c r="N49" s="415">
        <f t="shared" si="36"/>
        <v>0</v>
      </c>
      <c r="O49" s="464"/>
      <c r="P49" s="415">
        <f t="shared" si="45"/>
        <v>0</v>
      </c>
      <c r="Q49" s="464">
        <v>0</v>
      </c>
      <c r="R49" s="415">
        <f t="shared" si="37"/>
        <v>0</v>
      </c>
      <c r="S49" s="464">
        <v>0</v>
      </c>
      <c r="T49" s="415">
        <f t="shared" si="38"/>
        <v>0</v>
      </c>
      <c r="U49" s="464">
        <v>0</v>
      </c>
      <c r="V49" s="415">
        <f t="shared" si="46"/>
        <v>0</v>
      </c>
      <c r="W49" s="464">
        <v>0</v>
      </c>
      <c r="X49" s="415">
        <f t="shared" si="39"/>
        <v>0</v>
      </c>
      <c r="Y49" s="464">
        <v>0</v>
      </c>
      <c r="Z49" s="415">
        <f t="shared" si="40"/>
        <v>0</v>
      </c>
      <c r="AA49" s="405">
        <f t="shared" si="47"/>
        <v>0</v>
      </c>
      <c r="AB49" s="416">
        <f t="shared" si="41"/>
        <v>0</v>
      </c>
      <c r="AC49" s="407">
        <f t="shared" si="1"/>
        <v>0</v>
      </c>
      <c r="AD49" s="417">
        <f t="shared" si="42"/>
        <v>0</v>
      </c>
      <c r="AE49" s="214"/>
      <c r="AF49" s="54"/>
      <c r="AH49" s="21">
        <f t="shared" si="2"/>
        <v>0</v>
      </c>
    </row>
    <row r="50" spans="1:34" s="289" customFormat="1" ht="21.75" customHeight="1">
      <c r="A50" s="128">
        <v>6109</v>
      </c>
      <c r="B50" s="374" t="s">
        <v>79</v>
      </c>
      <c r="C50" s="402"/>
      <c r="D50" s="415">
        <f t="shared" si="31"/>
        <v>0</v>
      </c>
      <c r="E50" s="402"/>
      <c r="F50" s="415">
        <f t="shared" si="32"/>
        <v>0</v>
      </c>
      <c r="G50" s="363"/>
      <c r="H50" s="415">
        <f t="shared" si="33"/>
        <v>0</v>
      </c>
      <c r="I50" s="402"/>
      <c r="J50" s="415">
        <f t="shared" si="34"/>
        <v>0</v>
      </c>
      <c r="K50" s="402"/>
      <c r="L50" s="415">
        <f t="shared" si="35"/>
        <v>0</v>
      </c>
      <c r="M50" s="464"/>
      <c r="N50" s="415">
        <f t="shared" si="36"/>
        <v>0</v>
      </c>
      <c r="O50" s="464"/>
      <c r="P50" s="415">
        <f t="shared" si="45"/>
        <v>0</v>
      </c>
      <c r="Q50" s="464">
        <v>0</v>
      </c>
      <c r="R50" s="415">
        <f t="shared" si="37"/>
        <v>0</v>
      </c>
      <c r="S50" s="464">
        <v>0</v>
      </c>
      <c r="T50" s="415">
        <f t="shared" si="38"/>
        <v>0</v>
      </c>
      <c r="U50" s="464">
        <v>0</v>
      </c>
      <c r="V50" s="415">
        <f t="shared" si="46"/>
        <v>0</v>
      </c>
      <c r="W50" s="464">
        <v>0</v>
      </c>
      <c r="X50" s="415">
        <f t="shared" si="39"/>
        <v>0</v>
      </c>
      <c r="Y50" s="464">
        <v>0</v>
      </c>
      <c r="Z50" s="415">
        <f t="shared" si="40"/>
        <v>0</v>
      </c>
      <c r="AA50" s="405">
        <f t="shared" si="47"/>
        <v>0</v>
      </c>
      <c r="AB50" s="416">
        <f t="shared" si="41"/>
        <v>0</v>
      </c>
      <c r="AC50" s="407">
        <f t="shared" si="1"/>
        <v>0</v>
      </c>
      <c r="AD50" s="417">
        <f t="shared" si="42"/>
        <v>0</v>
      </c>
      <c r="AE50" s="214"/>
      <c r="AF50" s="54"/>
      <c r="AH50" s="21">
        <f t="shared" si="2"/>
        <v>0</v>
      </c>
    </row>
    <row r="51" spans="1:34" s="289" customFormat="1" ht="21.75" customHeight="1">
      <c r="A51" s="128">
        <v>6110</v>
      </c>
      <c r="B51" s="371" t="s">
        <v>9</v>
      </c>
      <c r="C51" s="55">
        <v>75</v>
      </c>
      <c r="D51" s="49">
        <f t="shared" ref="D51" si="48">C127/C$12</f>
        <v>5.9025256907430687E-4</v>
      </c>
      <c r="E51" s="55">
        <v>75</v>
      </c>
      <c r="F51" s="49">
        <f t="shared" ref="F51" si="49">E127/E$12</f>
        <v>7.586792910900704E-4</v>
      </c>
      <c r="G51" s="55">
        <v>75</v>
      </c>
      <c r="H51" s="49">
        <f t="shared" ref="H51" si="50">G127/G$12</f>
        <v>4.5737083296661438E-4</v>
      </c>
      <c r="I51" s="55">
        <v>75</v>
      </c>
      <c r="J51" s="49">
        <f t="shared" ref="J51" si="51">I127/I$12</f>
        <v>5.179771268352118E-4</v>
      </c>
      <c r="K51" s="55">
        <v>75</v>
      </c>
      <c r="L51" s="49">
        <f t="shared" ref="L51" si="52">K127/K$12</f>
        <v>5.6634164364816487E-4</v>
      </c>
      <c r="M51" s="55">
        <v>75</v>
      </c>
      <c r="N51" s="49">
        <f t="shared" ref="N51" si="53">M127/M$12</f>
        <v>3.9939857081074207E-4</v>
      </c>
      <c r="O51" s="55">
        <v>75</v>
      </c>
      <c r="P51" s="49">
        <f t="shared" ref="P51" si="54">O127/O$12</f>
        <v>6.3085126135676629E-4</v>
      </c>
      <c r="Q51" s="55">
        <v>75</v>
      </c>
      <c r="R51" s="49">
        <f t="shared" ref="R51" si="55">Q127/Q$12</f>
        <v>5.0803851819791388E-4</v>
      </c>
      <c r="S51" s="55">
        <v>75</v>
      </c>
      <c r="T51" s="49">
        <f t="shared" ref="T51" si="56">S127/S$12</f>
        <v>5.0431702379745728E-4</v>
      </c>
      <c r="U51" s="55">
        <v>75</v>
      </c>
      <c r="V51" s="49">
        <f t="shared" ref="V51" si="57">U127/U$12</f>
        <v>6.3579535113532858E-4</v>
      </c>
      <c r="W51" s="55">
        <v>75</v>
      </c>
      <c r="X51" s="49">
        <f t="shared" ref="X51" si="58">W127/W$12</f>
        <v>6.248962056426984E-4</v>
      </c>
      <c r="Y51" s="55">
        <v>75</v>
      </c>
      <c r="Z51" s="49">
        <f t="shared" ref="Z51" si="59">Y127/Y$12</f>
        <v>4.1365678920856177E-4</v>
      </c>
      <c r="AA51" s="405">
        <f t="shared" si="47"/>
        <v>900</v>
      </c>
      <c r="AB51" s="416">
        <f t="shared" si="41"/>
        <v>3.9954352380983788E-4</v>
      </c>
      <c r="AC51" s="407">
        <f t="shared" si="1"/>
        <v>75</v>
      </c>
      <c r="AD51" s="417">
        <f t="shared" si="42"/>
        <v>3.9954352380983788E-4</v>
      </c>
      <c r="AE51" s="214"/>
      <c r="AF51" s="54"/>
      <c r="AH51" s="21">
        <f t="shared" si="2"/>
        <v>381.75</v>
      </c>
    </row>
    <row r="52" spans="1:34" s="289" customFormat="1" ht="21.75" customHeight="1">
      <c r="A52" s="128">
        <v>6111</v>
      </c>
      <c r="B52" s="374" t="s">
        <v>10</v>
      </c>
      <c r="C52" s="418"/>
      <c r="D52" s="415">
        <f t="shared" ref="D52:D60" si="60">C128/C$12</f>
        <v>0</v>
      </c>
      <c r="E52" s="418"/>
      <c r="F52" s="415">
        <f t="shared" ref="F52:F60" si="61">E128/E$12</f>
        <v>0</v>
      </c>
      <c r="G52" s="363"/>
      <c r="H52" s="415">
        <f t="shared" ref="H52:H60" si="62">G128/G$12</f>
        <v>0</v>
      </c>
      <c r="I52" s="418"/>
      <c r="J52" s="415">
        <f t="shared" ref="J52:J60" si="63">I128/I$12</f>
        <v>0</v>
      </c>
      <c r="K52" s="418"/>
      <c r="L52" s="415">
        <f t="shared" ref="L52:L60" si="64">K128/K$12</f>
        <v>0</v>
      </c>
      <c r="M52" s="462"/>
      <c r="N52" s="415">
        <f t="shared" ref="N52:N60" si="65">M128/M$12</f>
        <v>0</v>
      </c>
      <c r="O52" s="462"/>
      <c r="P52" s="415">
        <f t="shared" ref="P52:P60" si="66">O128/O$12</f>
        <v>0</v>
      </c>
      <c r="Q52" s="462">
        <v>0</v>
      </c>
      <c r="R52" s="415">
        <f t="shared" ref="R52:R60" si="67">Q128/Q$12</f>
        <v>0</v>
      </c>
      <c r="S52" s="462">
        <v>0</v>
      </c>
      <c r="T52" s="415">
        <f t="shared" ref="T52:T60" si="68">S128/S$12</f>
        <v>0</v>
      </c>
      <c r="U52" s="462">
        <v>0</v>
      </c>
      <c r="V52" s="415">
        <f t="shared" ref="V52:V60" si="69">U128/U$12</f>
        <v>0</v>
      </c>
      <c r="W52" s="462">
        <v>0</v>
      </c>
      <c r="X52" s="415">
        <f t="shared" ref="X52:X60" si="70">W128/W$12</f>
        <v>0</v>
      </c>
      <c r="Y52" s="462">
        <v>0</v>
      </c>
      <c r="Z52" s="415">
        <f t="shared" ref="Z52:Z60" si="71">Y128/Y$12</f>
        <v>0</v>
      </c>
      <c r="AA52" s="405">
        <f t="shared" si="47"/>
        <v>0</v>
      </c>
      <c r="AB52" s="416">
        <f t="shared" si="41"/>
        <v>0</v>
      </c>
      <c r="AC52" s="407">
        <f t="shared" si="1"/>
        <v>0</v>
      </c>
      <c r="AD52" s="417">
        <f t="shared" si="42"/>
        <v>0</v>
      </c>
      <c r="AE52" s="214"/>
      <c r="AF52" s="222"/>
      <c r="AH52" s="21">
        <f t="shared" si="2"/>
        <v>0</v>
      </c>
    </row>
    <row r="53" spans="1:34" s="289" customFormat="1" ht="21.75" customHeight="1">
      <c r="A53" s="128">
        <v>6112</v>
      </c>
      <c r="B53" s="375" t="s">
        <v>11</v>
      </c>
      <c r="C53" s="46">
        <v>1000</v>
      </c>
      <c r="D53" s="49">
        <f t="shared" si="60"/>
        <v>1.3541515414445841E-2</v>
      </c>
      <c r="E53" s="46">
        <v>1000</v>
      </c>
      <c r="F53" s="49">
        <f t="shared" si="61"/>
        <v>1.4552075746540423E-2</v>
      </c>
      <c r="G53" s="46">
        <v>1000</v>
      </c>
      <c r="H53" s="49">
        <f t="shared" si="62"/>
        <v>1.2744224997799687E-2</v>
      </c>
      <c r="I53" s="46">
        <v>1000</v>
      </c>
      <c r="J53" s="49">
        <f t="shared" si="63"/>
        <v>1.3107862761011271E-2</v>
      </c>
      <c r="K53" s="46">
        <v>1000</v>
      </c>
      <c r="L53" s="49">
        <f t="shared" si="64"/>
        <v>1.3398049861888991E-2</v>
      </c>
      <c r="M53" s="46">
        <v>1000</v>
      </c>
      <c r="N53" s="49">
        <f t="shared" si="65"/>
        <v>1.2396391424864454E-2</v>
      </c>
      <c r="O53" s="46">
        <v>1000</v>
      </c>
      <c r="P53" s="49">
        <f t="shared" si="66"/>
        <v>1.37851075681406E-2</v>
      </c>
      <c r="Q53" s="46">
        <v>1000</v>
      </c>
      <c r="R53" s="49">
        <f t="shared" si="67"/>
        <v>1.3048231109187482E-2</v>
      </c>
      <c r="S53" s="46">
        <v>1000</v>
      </c>
      <c r="T53" s="49">
        <f t="shared" si="68"/>
        <v>1.3025902142784743E-2</v>
      </c>
      <c r="U53" s="46">
        <v>1000</v>
      </c>
      <c r="V53" s="49">
        <f t="shared" si="69"/>
        <v>1.3814772106811972E-2</v>
      </c>
      <c r="W53" s="46">
        <v>1000</v>
      </c>
      <c r="X53" s="49">
        <f t="shared" si="70"/>
        <v>1.374937723385619E-2</v>
      </c>
      <c r="Y53" s="46">
        <v>1000</v>
      </c>
      <c r="Z53" s="49">
        <f t="shared" si="71"/>
        <v>1.2481940735251371E-2</v>
      </c>
      <c r="AA53" s="405">
        <f t="shared" si="47"/>
        <v>12000</v>
      </c>
      <c r="AB53" s="416">
        <f t="shared" si="41"/>
        <v>5.3272469841311714E-3</v>
      </c>
      <c r="AC53" s="407">
        <f t="shared" si="1"/>
        <v>1000</v>
      </c>
      <c r="AD53" s="417">
        <f t="shared" si="42"/>
        <v>5.3272469841311714E-3</v>
      </c>
      <c r="AE53" s="214"/>
      <c r="AF53" s="54"/>
      <c r="AH53" s="21">
        <f t="shared" si="2"/>
        <v>5090</v>
      </c>
    </row>
    <row r="54" spans="1:34" s="289" customFormat="1" ht="21.75" customHeight="1">
      <c r="A54" s="128">
        <v>6113</v>
      </c>
      <c r="B54" s="375" t="s">
        <v>12</v>
      </c>
      <c r="C54" s="418"/>
      <c r="D54" s="415">
        <f t="shared" si="60"/>
        <v>0</v>
      </c>
      <c r="E54" s="418"/>
      <c r="F54" s="415">
        <f t="shared" si="61"/>
        <v>0</v>
      </c>
      <c r="G54" s="363"/>
      <c r="H54" s="415">
        <f t="shared" si="62"/>
        <v>0</v>
      </c>
      <c r="I54" s="418"/>
      <c r="J54" s="415">
        <f t="shared" si="63"/>
        <v>0</v>
      </c>
      <c r="K54" s="418"/>
      <c r="L54" s="415">
        <f t="shared" si="64"/>
        <v>0</v>
      </c>
      <c r="M54" s="462"/>
      <c r="N54" s="415">
        <f t="shared" si="65"/>
        <v>0</v>
      </c>
      <c r="O54" s="462"/>
      <c r="P54" s="415">
        <f t="shared" si="66"/>
        <v>0</v>
      </c>
      <c r="Q54" s="462">
        <v>0</v>
      </c>
      <c r="R54" s="415">
        <f t="shared" si="67"/>
        <v>0</v>
      </c>
      <c r="S54" s="462">
        <v>0</v>
      </c>
      <c r="T54" s="415">
        <f t="shared" si="68"/>
        <v>0</v>
      </c>
      <c r="U54" s="462">
        <v>0</v>
      </c>
      <c r="V54" s="415">
        <f t="shared" si="69"/>
        <v>0</v>
      </c>
      <c r="W54" s="462">
        <v>0</v>
      </c>
      <c r="X54" s="415">
        <f t="shared" si="70"/>
        <v>0</v>
      </c>
      <c r="Y54" s="462">
        <v>0</v>
      </c>
      <c r="Z54" s="415">
        <f t="shared" si="71"/>
        <v>0</v>
      </c>
      <c r="AA54" s="405">
        <f t="shared" si="47"/>
        <v>0</v>
      </c>
      <c r="AB54" s="416">
        <f t="shared" si="41"/>
        <v>0</v>
      </c>
      <c r="AC54" s="407">
        <f t="shared" si="1"/>
        <v>0</v>
      </c>
      <c r="AD54" s="417">
        <f t="shared" si="42"/>
        <v>0</v>
      </c>
      <c r="AE54" s="214"/>
      <c r="AF54" s="54"/>
      <c r="AH54" s="21">
        <f t="shared" si="2"/>
        <v>0</v>
      </c>
    </row>
    <row r="55" spans="1:34" s="289" customFormat="1" ht="21.75" customHeight="1">
      <c r="A55" s="128">
        <v>6114</v>
      </c>
      <c r="B55" s="374" t="s">
        <v>88</v>
      </c>
      <c r="C55" s="55">
        <v>150</v>
      </c>
      <c r="D55" s="49">
        <f t="shared" si="60"/>
        <v>9.5005734841733427E-2</v>
      </c>
      <c r="E55" s="55">
        <v>150</v>
      </c>
      <c r="F55" s="49">
        <f t="shared" si="61"/>
        <v>-3.3870197558448951E-2</v>
      </c>
      <c r="G55" s="55">
        <v>150</v>
      </c>
      <c r="H55" s="49">
        <f t="shared" si="62"/>
        <v>0.13156928609081769</v>
      </c>
      <c r="I55" s="55">
        <v>150</v>
      </c>
      <c r="J55" s="49">
        <f t="shared" si="63"/>
        <v>0.10515215736823329</v>
      </c>
      <c r="K55" s="55">
        <v>150</v>
      </c>
      <c r="L55" s="49">
        <f t="shared" si="64"/>
        <v>0.15215274699987444</v>
      </c>
      <c r="M55" s="55">
        <v>150</v>
      </c>
      <c r="N55" s="49">
        <f t="shared" si="65"/>
        <v>0.17895479615217438</v>
      </c>
      <c r="O55" s="55">
        <v>150</v>
      </c>
      <c r="P55" s="49">
        <f t="shared" si="66"/>
        <v>4.0004222592919622E-2</v>
      </c>
      <c r="Q55" s="55">
        <v>150</v>
      </c>
      <c r="R55" s="49">
        <f t="shared" si="67"/>
        <v>4.6281142451398811E-2</v>
      </c>
      <c r="S55" s="55">
        <v>150</v>
      </c>
      <c r="T55" s="49">
        <f t="shared" si="68"/>
        <v>0.16555472878288058</v>
      </c>
      <c r="U55" s="55">
        <v>150</v>
      </c>
      <c r="V55" s="49">
        <f t="shared" si="69"/>
        <v>7.6762742537733519E-2</v>
      </c>
      <c r="W55" s="55">
        <v>150</v>
      </c>
      <c r="X55" s="49">
        <f t="shared" si="70"/>
        <v>0.10051492675788519</v>
      </c>
      <c r="Y55" s="55">
        <v>150</v>
      </c>
      <c r="Z55" s="49">
        <f t="shared" si="71"/>
        <v>0.19702445927765239</v>
      </c>
      <c r="AA55" s="405">
        <f t="shared" si="47"/>
        <v>1800</v>
      </c>
      <c r="AB55" s="416">
        <f t="shared" si="41"/>
        <v>7.9908704761967576E-4</v>
      </c>
      <c r="AC55" s="407">
        <f t="shared" si="1"/>
        <v>150</v>
      </c>
      <c r="AD55" s="417">
        <f t="shared" si="42"/>
        <v>7.9908704761967576E-4</v>
      </c>
      <c r="AE55" s="214"/>
      <c r="AF55" s="54"/>
      <c r="AH55" s="21">
        <f t="shared" si="2"/>
        <v>763.5</v>
      </c>
    </row>
    <row r="56" spans="1:34" s="289" customFormat="1" ht="21.75" customHeight="1">
      <c r="A56" s="128">
        <v>6115</v>
      </c>
      <c r="B56" s="374" t="s">
        <v>13</v>
      </c>
      <c r="C56" s="55">
        <v>300</v>
      </c>
      <c r="D56" s="49">
        <f t="shared" si="60"/>
        <v>0</v>
      </c>
      <c r="E56" s="55">
        <v>300</v>
      </c>
      <c r="F56" s="49">
        <f t="shared" si="61"/>
        <v>0</v>
      </c>
      <c r="G56" s="55">
        <v>300</v>
      </c>
      <c r="H56" s="49">
        <f t="shared" si="62"/>
        <v>0</v>
      </c>
      <c r="I56" s="55">
        <v>300</v>
      </c>
      <c r="J56" s="49">
        <f t="shared" si="63"/>
        <v>0</v>
      </c>
      <c r="K56" s="55">
        <v>300</v>
      </c>
      <c r="L56" s="49">
        <f t="shared" si="64"/>
        <v>0</v>
      </c>
      <c r="M56" s="55">
        <v>300</v>
      </c>
      <c r="N56" s="49">
        <f t="shared" si="65"/>
        <v>0</v>
      </c>
      <c r="O56" s="55">
        <v>300</v>
      </c>
      <c r="P56" s="49">
        <f t="shared" si="66"/>
        <v>0</v>
      </c>
      <c r="Q56" s="55">
        <v>300</v>
      </c>
      <c r="R56" s="49">
        <f t="shared" si="67"/>
        <v>0</v>
      </c>
      <c r="S56" s="55">
        <v>300</v>
      </c>
      <c r="T56" s="49">
        <f t="shared" si="68"/>
        <v>0</v>
      </c>
      <c r="U56" s="55">
        <v>300</v>
      </c>
      <c r="V56" s="49">
        <f t="shared" si="69"/>
        <v>0</v>
      </c>
      <c r="W56" s="55">
        <v>300</v>
      </c>
      <c r="X56" s="49">
        <f t="shared" si="70"/>
        <v>0</v>
      </c>
      <c r="Y56" s="55">
        <v>300</v>
      </c>
      <c r="Z56" s="49">
        <f t="shared" si="71"/>
        <v>0</v>
      </c>
      <c r="AA56" s="405">
        <f t="shared" si="47"/>
        <v>3600</v>
      </c>
      <c r="AB56" s="416">
        <f t="shared" si="41"/>
        <v>1.5981740952393515E-3</v>
      </c>
      <c r="AC56" s="407">
        <f t="shared" si="1"/>
        <v>300</v>
      </c>
      <c r="AD56" s="417">
        <f t="shared" si="42"/>
        <v>1.5981740952393515E-3</v>
      </c>
      <c r="AE56" s="214"/>
      <c r="AF56" s="54"/>
      <c r="AH56" s="21">
        <f t="shared" si="2"/>
        <v>1527</v>
      </c>
    </row>
    <row r="57" spans="1:34" s="289" customFormat="1" ht="21.75" customHeight="1">
      <c r="A57" s="128">
        <v>6116</v>
      </c>
      <c r="B57" s="375" t="s">
        <v>14</v>
      </c>
      <c r="C57" s="55">
        <f>177.76*1.2</f>
        <v>213.31199999999998</v>
      </c>
      <c r="D57" s="49">
        <f t="shared" si="60"/>
        <v>0</v>
      </c>
      <c r="E57" s="55">
        <f>177.76*1.2</f>
        <v>213.31199999999998</v>
      </c>
      <c r="F57" s="49">
        <f t="shared" si="61"/>
        <v>0</v>
      </c>
      <c r="G57" s="55">
        <f>177.76*1.2</f>
        <v>213.31199999999998</v>
      </c>
      <c r="H57" s="49">
        <f t="shared" si="62"/>
        <v>0</v>
      </c>
      <c r="I57" s="55">
        <f>177.76*1.2</f>
        <v>213.31199999999998</v>
      </c>
      <c r="J57" s="49">
        <f t="shared" si="63"/>
        <v>0</v>
      </c>
      <c r="K57" s="55">
        <f>177.76*1.2</f>
        <v>213.31199999999998</v>
      </c>
      <c r="L57" s="49">
        <f t="shared" si="64"/>
        <v>0</v>
      </c>
      <c r="M57" s="55">
        <f>177.76*1.2</f>
        <v>213.31199999999998</v>
      </c>
      <c r="N57" s="49">
        <f t="shared" si="65"/>
        <v>0</v>
      </c>
      <c r="O57" s="55">
        <f>177.76*1.2</f>
        <v>213.31199999999998</v>
      </c>
      <c r="P57" s="49">
        <f t="shared" si="66"/>
        <v>0</v>
      </c>
      <c r="Q57" s="55">
        <f>177.76*1.2</f>
        <v>213.31199999999998</v>
      </c>
      <c r="R57" s="49">
        <f t="shared" si="67"/>
        <v>0</v>
      </c>
      <c r="S57" s="55">
        <f>177.76*1.2</f>
        <v>213.31199999999998</v>
      </c>
      <c r="T57" s="49">
        <f t="shared" si="68"/>
        <v>0</v>
      </c>
      <c r="U57" s="55">
        <f>177.76*1.2</f>
        <v>213.31199999999998</v>
      </c>
      <c r="V57" s="49">
        <f t="shared" si="69"/>
        <v>0</v>
      </c>
      <c r="W57" s="55">
        <f>177.76*1.2</f>
        <v>213.31199999999998</v>
      </c>
      <c r="X57" s="49">
        <f t="shared" si="70"/>
        <v>0</v>
      </c>
      <c r="Y57" s="55">
        <f>177.76*1.2</f>
        <v>213.31199999999998</v>
      </c>
      <c r="Z57" s="49">
        <f t="shared" si="71"/>
        <v>0</v>
      </c>
      <c r="AA57" s="405">
        <f t="shared" si="47"/>
        <v>2559.7439999999992</v>
      </c>
      <c r="AB57" s="416">
        <f t="shared" si="41"/>
        <v>1.1363657086789882E-3</v>
      </c>
      <c r="AC57" s="407">
        <f t="shared" si="1"/>
        <v>213.31199999999993</v>
      </c>
      <c r="AD57" s="417">
        <f t="shared" si="42"/>
        <v>1.1363657086789882E-3</v>
      </c>
      <c r="AE57" s="214"/>
      <c r="AF57" s="54"/>
      <c r="AH57" s="21">
        <f t="shared" si="2"/>
        <v>1085.7580799999998</v>
      </c>
    </row>
    <row r="58" spans="1:34" s="289" customFormat="1" ht="21.75" customHeight="1">
      <c r="A58" s="128">
        <v>6117</v>
      </c>
      <c r="B58" s="374" t="s">
        <v>15</v>
      </c>
      <c r="C58" s="418"/>
      <c r="D58" s="415">
        <f t="shared" si="60"/>
        <v>0</v>
      </c>
      <c r="E58" s="418"/>
      <c r="F58" s="415">
        <f t="shared" si="61"/>
        <v>0</v>
      </c>
      <c r="G58" s="363"/>
      <c r="H58" s="415">
        <f t="shared" si="62"/>
        <v>0</v>
      </c>
      <c r="I58" s="418"/>
      <c r="J58" s="415">
        <f t="shared" si="63"/>
        <v>0</v>
      </c>
      <c r="K58" s="418"/>
      <c r="L58" s="415">
        <f t="shared" si="64"/>
        <v>0</v>
      </c>
      <c r="M58" s="462"/>
      <c r="N58" s="415">
        <f t="shared" si="65"/>
        <v>0</v>
      </c>
      <c r="O58" s="462"/>
      <c r="P58" s="415">
        <f t="shared" si="66"/>
        <v>0</v>
      </c>
      <c r="Q58" s="462">
        <v>0</v>
      </c>
      <c r="R58" s="465">
        <f t="shared" si="67"/>
        <v>0</v>
      </c>
      <c r="S58" s="462">
        <v>0</v>
      </c>
      <c r="T58" s="465">
        <f t="shared" si="68"/>
        <v>0</v>
      </c>
      <c r="U58" s="462">
        <v>0</v>
      </c>
      <c r="V58" s="465">
        <f t="shared" si="69"/>
        <v>0</v>
      </c>
      <c r="W58" s="462">
        <v>0</v>
      </c>
      <c r="X58" s="466">
        <f t="shared" si="70"/>
        <v>0</v>
      </c>
      <c r="Y58" s="462">
        <v>0</v>
      </c>
      <c r="Z58" s="465">
        <f t="shared" si="71"/>
        <v>0</v>
      </c>
      <c r="AA58" s="405">
        <f t="shared" si="47"/>
        <v>0</v>
      </c>
      <c r="AB58" s="416">
        <f t="shared" si="41"/>
        <v>0</v>
      </c>
      <c r="AC58" s="407">
        <f t="shared" si="1"/>
        <v>0</v>
      </c>
      <c r="AD58" s="417">
        <f t="shared" si="42"/>
        <v>0</v>
      </c>
      <c r="AE58" s="216"/>
      <c r="AF58" s="54"/>
      <c r="AH58" s="21">
        <f t="shared" si="2"/>
        <v>0</v>
      </c>
    </row>
    <row r="59" spans="1:34" s="289" customFormat="1" ht="21.75" customHeight="1">
      <c r="A59" s="128">
        <v>6118</v>
      </c>
      <c r="B59" s="375" t="s">
        <v>16</v>
      </c>
      <c r="C59" s="55">
        <v>2500</v>
      </c>
      <c r="D59" s="49">
        <f t="shared" si="60"/>
        <v>9.5005734841733427E-2</v>
      </c>
      <c r="E59" s="55">
        <v>2500</v>
      </c>
      <c r="F59" s="49">
        <f t="shared" si="61"/>
        <v>-3.3870197558448951E-2</v>
      </c>
      <c r="G59" s="55">
        <v>2500</v>
      </c>
      <c r="H59" s="49">
        <f t="shared" si="62"/>
        <v>0.13156928609081769</v>
      </c>
      <c r="I59" s="55">
        <v>2500</v>
      </c>
      <c r="J59" s="49">
        <f t="shared" si="63"/>
        <v>0.10515215736823329</v>
      </c>
      <c r="K59" s="55">
        <v>2500</v>
      </c>
      <c r="L59" s="49">
        <f t="shared" si="64"/>
        <v>0.15215274699987444</v>
      </c>
      <c r="M59" s="55">
        <v>5000</v>
      </c>
      <c r="N59" s="49">
        <f t="shared" si="65"/>
        <v>0.17895479615217438</v>
      </c>
      <c r="O59" s="55">
        <v>5000</v>
      </c>
      <c r="P59" s="49">
        <f t="shared" si="66"/>
        <v>4.0004222592919622E-2</v>
      </c>
      <c r="Q59" s="55">
        <v>5000</v>
      </c>
      <c r="R59" s="49">
        <f t="shared" si="67"/>
        <v>4.6281142451398811E-2</v>
      </c>
      <c r="S59" s="55">
        <v>5000</v>
      </c>
      <c r="T59" s="49">
        <f t="shared" si="68"/>
        <v>0.16555472878288058</v>
      </c>
      <c r="U59" s="55">
        <v>5000</v>
      </c>
      <c r="V59" s="49">
        <f t="shared" si="69"/>
        <v>7.6762742537733519E-2</v>
      </c>
      <c r="W59" s="55">
        <v>5000</v>
      </c>
      <c r="X59" s="49">
        <f t="shared" si="70"/>
        <v>0.10051492675788519</v>
      </c>
      <c r="Y59" s="55">
        <v>5000</v>
      </c>
      <c r="Z59" s="49">
        <f t="shared" si="71"/>
        <v>0.19702445927765239</v>
      </c>
      <c r="AA59" s="405">
        <f t="shared" si="47"/>
        <v>47500</v>
      </c>
      <c r="AB59" s="416">
        <f t="shared" si="41"/>
        <v>2.1087019312185887E-2</v>
      </c>
      <c r="AC59" s="407">
        <f t="shared" si="1"/>
        <v>3958.3333333333335</v>
      </c>
      <c r="AD59" s="417">
        <f t="shared" si="42"/>
        <v>2.108701931218589E-2</v>
      </c>
      <c r="AE59" s="214"/>
      <c r="AF59" s="54"/>
      <c r="AH59" s="21">
        <f t="shared" si="2"/>
        <v>25450</v>
      </c>
    </row>
    <row r="60" spans="1:34" s="289" customFormat="1" ht="21.75" customHeight="1">
      <c r="A60" s="128">
        <v>6119</v>
      </c>
      <c r="B60" s="374" t="s">
        <v>17</v>
      </c>
      <c r="C60" s="418"/>
      <c r="D60" s="415">
        <f t="shared" si="60"/>
        <v>0</v>
      </c>
      <c r="E60" s="418"/>
      <c r="F60" s="415">
        <f t="shared" si="61"/>
        <v>0</v>
      </c>
      <c r="G60" s="363"/>
      <c r="H60" s="415">
        <f t="shared" si="62"/>
        <v>0</v>
      </c>
      <c r="I60" s="418"/>
      <c r="J60" s="415">
        <f t="shared" si="63"/>
        <v>0</v>
      </c>
      <c r="K60" s="418"/>
      <c r="L60" s="415">
        <f t="shared" si="64"/>
        <v>0</v>
      </c>
      <c r="M60" s="462"/>
      <c r="N60" s="415">
        <f t="shared" si="65"/>
        <v>0</v>
      </c>
      <c r="O60" s="462"/>
      <c r="P60" s="415">
        <f t="shared" si="66"/>
        <v>0</v>
      </c>
      <c r="Q60" s="462">
        <v>0</v>
      </c>
      <c r="R60" s="415">
        <f t="shared" si="67"/>
        <v>0</v>
      </c>
      <c r="S60" s="462">
        <v>0</v>
      </c>
      <c r="T60" s="415">
        <f t="shared" si="68"/>
        <v>0</v>
      </c>
      <c r="U60" s="462">
        <v>0</v>
      </c>
      <c r="V60" s="415">
        <f t="shared" si="69"/>
        <v>0</v>
      </c>
      <c r="W60" s="462">
        <v>0</v>
      </c>
      <c r="X60" s="415">
        <f t="shared" si="70"/>
        <v>0</v>
      </c>
      <c r="Y60" s="462">
        <v>0</v>
      </c>
      <c r="Z60" s="415">
        <f t="shared" si="71"/>
        <v>0</v>
      </c>
      <c r="AA60" s="405">
        <f t="shared" si="47"/>
        <v>0</v>
      </c>
      <c r="AB60" s="416">
        <f t="shared" si="41"/>
        <v>0</v>
      </c>
      <c r="AC60" s="407">
        <f t="shared" si="1"/>
        <v>0</v>
      </c>
      <c r="AD60" s="417">
        <f t="shared" si="42"/>
        <v>0</v>
      </c>
      <c r="AE60" s="214"/>
      <c r="AF60" s="54"/>
      <c r="AG60" s="5"/>
      <c r="AH60" s="21">
        <f t="shared" si="2"/>
        <v>0</v>
      </c>
    </row>
    <row r="61" spans="1:34" s="289" customFormat="1" ht="21.75" customHeight="1">
      <c r="A61" s="128">
        <v>6120</v>
      </c>
      <c r="B61" s="374" t="s">
        <v>18</v>
      </c>
      <c r="C61" s="418"/>
      <c r="D61" s="415">
        <f t="shared" ref="D61:D66" si="72">C61/C$12</f>
        <v>0</v>
      </c>
      <c r="E61" s="418"/>
      <c r="F61" s="415">
        <f t="shared" ref="F61:F66" si="73">E61/E$12</f>
        <v>0</v>
      </c>
      <c r="G61" s="363"/>
      <c r="H61" s="415">
        <f t="shared" ref="H61:H66" si="74">G61/G$12</f>
        <v>0</v>
      </c>
      <c r="I61" s="418"/>
      <c r="J61" s="415">
        <f t="shared" ref="J61:J66" si="75">I61/I$12</f>
        <v>0</v>
      </c>
      <c r="K61" s="418"/>
      <c r="L61" s="415">
        <f t="shared" ref="L61:L66" si="76">K61/K$12</f>
        <v>0</v>
      </c>
      <c r="M61" s="462"/>
      <c r="N61" s="415">
        <f t="shared" ref="N61:N69" si="77">M61/M$12</f>
        <v>0</v>
      </c>
      <c r="O61" s="462"/>
      <c r="P61" s="415">
        <f t="shared" ref="P61:P69" si="78">O61/O$12</f>
        <v>0</v>
      </c>
      <c r="Q61" s="462">
        <v>0</v>
      </c>
      <c r="R61" s="415">
        <f t="shared" ref="R61:R66" si="79">Q61/Q$12</f>
        <v>0</v>
      </c>
      <c r="S61" s="462">
        <v>0</v>
      </c>
      <c r="T61" s="415">
        <f t="shared" ref="T61:T66" si="80">S61/S$12</f>
        <v>0</v>
      </c>
      <c r="U61" s="462">
        <v>0</v>
      </c>
      <c r="V61" s="415">
        <f t="shared" ref="V61:V66" si="81">U61/U$12</f>
        <v>0</v>
      </c>
      <c r="W61" s="462">
        <v>0</v>
      </c>
      <c r="X61" s="415">
        <f t="shared" ref="X61:X66" si="82">W61/W$12</f>
        <v>0</v>
      </c>
      <c r="Y61" s="462">
        <v>0</v>
      </c>
      <c r="Z61" s="415">
        <f t="shared" ref="Z61:Z66" si="83">Y61/Y$12</f>
        <v>0</v>
      </c>
      <c r="AA61" s="405">
        <f t="shared" si="47"/>
        <v>0</v>
      </c>
      <c r="AB61" s="416">
        <f t="shared" si="41"/>
        <v>0</v>
      </c>
      <c r="AC61" s="407">
        <f t="shared" si="1"/>
        <v>0</v>
      </c>
      <c r="AD61" s="417">
        <f t="shared" si="42"/>
        <v>0</v>
      </c>
      <c r="AE61" s="214"/>
      <c r="AF61" s="54"/>
      <c r="AH61" s="21">
        <f t="shared" si="2"/>
        <v>0</v>
      </c>
    </row>
    <row r="62" spans="1:34" s="289" customFormat="1" ht="21.75" customHeight="1">
      <c r="A62" s="128">
        <v>6121</v>
      </c>
      <c r="B62" s="371" t="s">
        <v>19</v>
      </c>
      <c r="C62" s="46">
        <v>50</v>
      </c>
      <c r="D62" s="49">
        <f t="shared" si="72"/>
        <v>2.9512628453715343E-4</v>
      </c>
      <c r="E62" s="46">
        <v>50</v>
      </c>
      <c r="F62" s="49">
        <f t="shared" si="73"/>
        <v>3.793396455450352E-4</v>
      </c>
      <c r="G62" s="46">
        <v>50</v>
      </c>
      <c r="H62" s="49">
        <f t="shared" si="74"/>
        <v>2.2868541648330719E-4</v>
      </c>
      <c r="I62" s="46">
        <v>50</v>
      </c>
      <c r="J62" s="49">
        <f t="shared" si="75"/>
        <v>2.589885634176059E-4</v>
      </c>
      <c r="K62" s="46">
        <v>50</v>
      </c>
      <c r="L62" s="49">
        <f t="shared" si="76"/>
        <v>2.8317082182408243E-4</v>
      </c>
      <c r="M62" s="46">
        <v>50</v>
      </c>
      <c r="N62" s="49">
        <f t="shared" si="77"/>
        <v>1.9969928540537104E-4</v>
      </c>
      <c r="O62" s="46">
        <v>50</v>
      </c>
      <c r="P62" s="49">
        <f t="shared" si="78"/>
        <v>3.1542563067838314E-4</v>
      </c>
      <c r="Q62" s="46">
        <v>50</v>
      </c>
      <c r="R62" s="49">
        <f t="shared" si="79"/>
        <v>2.5401925909895694E-4</v>
      </c>
      <c r="S62" s="46">
        <v>50</v>
      </c>
      <c r="T62" s="49">
        <f t="shared" si="80"/>
        <v>2.5215851189872864E-4</v>
      </c>
      <c r="U62" s="46">
        <v>50</v>
      </c>
      <c r="V62" s="49">
        <f t="shared" si="81"/>
        <v>3.1789767556766429E-4</v>
      </c>
      <c r="W62" s="46">
        <v>50</v>
      </c>
      <c r="X62" s="49">
        <f t="shared" si="82"/>
        <v>3.124481028213492E-4</v>
      </c>
      <c r="Y62" s="46">
        <v>50</v>
      </c>
      <c r="Z62" s="49">
        <f t="shared" si="83"/>
        <v>2.0682839460428088E-4</v>
      </c>
      <c r="AA62" s="405">
        <f t="shared" si="47"/>
        <v>600</v>
      </c>
      <c r="AB62" s="416">
        <f t="shared" si="41"/>
        <v>2.663623492065586E-4</v>
      </c>
      <c r="AC62" s="407">
        <f t="shared" si="1"/>
        <v>50</v>
      </c>
      <c r="AD62" s="417">
        <f t="shared" si="42"/>
        <v>2.663623492065586E-4</v>
      </c>
      <c r="AE62" s="214"/>
      <c r="AF62" s="54"/>
      <c r="AH62" s="21">
        <f t="shared" si="2"/>
        <v>254.5</v>
      </c>
    </row>
    <row r="63" spans="1:34" s="289" customFormat="1" ht="21.75" customHeight="1">
      <c r="A63" s="2">
        <v>6122</v>
      </c>
      <c r="B63" s="371" t="s">
        <v>20</v>
      </c>
      <c r="C63" s="418"/>
      <c r="D63" s="415">
        <f t="shared" si="72"/>
        <v>0</v>
      </c>
      <c r="E63" s="418"/>
      <c r="F63" s="415">
        <f t="shared" si="73"/>
        <v>0</v>
      </c>
      <c r="G63" s="363"/>
      <c r="H63" s="415">
        <f t="shared" si="74"/>
        <v>0</v>
      </c>
      <c r="I63" s="418"/>
      <c r="J63" s="415">
        <f t="shared" si="75"/>
        <v>0</v>
      </c>
      <c r="K63" s="418"/>
      <c r="L63" s="415">
        <f t="shared" si="76"/>
        <v>0</v>
      </c>
      <c r="M63" s="462"/>
      <c r="N63" s="415">
        <f t="shared" si="77"/>
        <v>0</v>
      </c>
      <c r="O63" s="462"/>
      <c r="P63" s="415">
        <f t="shared" si="78"/>
        <v>0</v>
      </c>
      <c r="Q63" s="462">
        <v>0</v>
      </c>
      <c r="R63" s="415">
        <f t="shared" si="79"/>
        <v>0</v>
      </c>
      <c r="S63" s="462">
        <v>0</v>
      </c>
      <c r="T63" s="415">
        <f t="shared" si="80"/>
        <v>0</v>
      </c>
      <c r="U63" s="462">
        <v>0</v>
      </c>
      <c r="V63" s="415">
        <f t="shared" si="81"/>
        <v>0</v>
      </c>
      <c r="W63" s="462">
        <v>0</v>
      </c>
      <c r="X63" s="415">
        <f t="shared" si="82"/>
        <v>0</v>
      </c>
      <c r="Y63" s="462">
        <v>0</v>
      </c>
      <c r="Z63" s="415">
        <f t="shared" si="83"/>
        <v>0</v>
      </c>
      <c r="AA63" s="405">
        <f t="shared" si="47"/>
        <v>0</v>
      </c>
      <c r="AB63" s="416">
        <f t="shared" si="41"/>
        <v>0</v>
      </c>
      <c r="AC63" s="407">
        <f t="shared" si="1"/>
        <v>0</v>
      </c>
      <c r="AD63" s="417">
        <f t="shared" si="42"/>
        <v>0</v>
      </c>
      <c r="AE63" s="214"/>
      <c r="AF63" s="54"/>
      <c r="AH63" s="21">
        <f t="shared" si="2"/>
        <v>0</v>
      </c>
    </row>
    <row r="64" spans="1:34" s="289" customFormat="1" ht="21.75" customHeight="1">
      <c r="A64" s="2">
        <v>6123</v>
      </c>
      <c r="B64" s="371" t="s">
        <v>21</v>
      </c>
      <c r="C64" s="418"/>
      <c r="D64" s="415">
        <f t="shared" si="72"/>
        <v>0</v>
      </c>
      <c r="E64" s="418"/>
      <c r="F64" s="415">
        <f t="shared" si="73"/>
        <v>0</v>
      </c>
      <c r="G64" s="363"/>
      <c r="H64" s="415">
        <f t="shared" si="74"/>
        <v>0</v>
      </c>
      <c r="I64" s="418"/>
      <c r="J64" s="415">
        <f t="shared" si="75"/>
        <v>0</v>
      </c>
      <c r="K64" s="418"/>
      <c r="L64" s="415">
        <f t="shared" si="76"/>
        <v>0</v>
      </c>
      <c r="M64" s="462"/>
      <c r="N64" s="415">
        <f t="shared" si="77"/>
        <v>0</v>
      </c>
      <c r="O64" s="462"/>
      <c r="P64" s="415">
        <f t="shared" si="78"/>
        <v>0</v>
      </c>
      <c r="Q64" s="462">
        <v>0</v>
      </c>
      <c r="R64" s="415">
        <f t="shared" si="79"/>
        <v>0</v>
      </c>
      <c r="S64" s="462">
        <v>0</v>
      </c>
      <c r="T64" s="415">
        <f t="shared" si="80"/>
        <v>0</v>
      </c>
      <c r="U64" s="462">
        <v>0</v>
      </c>
      <c r="V64" s="415">
        <f t="shared" si="81"/>
        <v>0</v>
      </c>
      <c r="W64" s="462">
        <v>0</v>
      </c>
      <c r="X64" s="415">
        <f t="shared" si="82"/>
        <v>0</v>
      </c>
      <c r="Y64" s="462">
        <v>0</v>
      </c>
      <c r="Z64" s="415">
        <f t="shared" si="83"/>
        <v>0</v>
      </c>
      <c r="AA64" s="405">
        <f t="shared" si="47"/>
        <v>0</v>
      </c>
      <c r="AB64" s="416">
        <f t="shared" si="41"/>
        <v>0</v>
      </c>
      <c r="AC64" s="407">
        <f t="shared" si="1"/>
        <v>0</v>
      </c>
      <c r="AD64" s="417">
        <f t="shared" si="42"/>
        <v>0</v>
      </c>
      <c r="AE64" s="214"/>
      <c r="AF64" s="54"/>
      <c r="AH64" s="21">
        <f t="shared" si="2"/>
        <v>0</v>
      </c>
    </row>
    <row r="65" spans="1:34" s="289" customFormat="1" ht="21.75" customHeight="1">
      <c r="A65" s="128">
        <v>6124</v>
      </c>
      <c r="B65" s="371" t="s">
        <v>22</v>
      </c>
      <c r="C65" s="46">
        <v>700</v>
      </c>
      <c r="D65" s="49">
        <f t="shared" si="72"/>
        <v>4.1317679835201479E-3</v>
      </c>
      <c r="E65" s="46">
        <v>700</v>
      </c>
      <c r="F65" s="49">
        <f t="shared" si="73"/>
        <v>5.3107550376304928E-3</v>
      </c>
      <c r="G65" s="46">
        <v>700</v>
      </c>
      <c r="H65" s="49">
        <f t="shared" si="74"/>
        <v>3.2015958307663006E-3</v>
      </c>
      <c r="I65" s="46">
        <v>700</v>
      </c>
      <c r="J65" s="49">
        <f t="shared" si="75"/>
        <v>3.6258398878464826E-3</v>
      </c>
      <c r="K65" s="46">
        <v>700</v>
      </c>
      <c r="L65" s="49">
        <f t="shared" si="76"/>
        <v>3.9643915055371541E-3</v>
      </c>
      <c r="M65" s="46">
        <v>700</v>
      </c>
      <c r="N65" s="49">
        <f t="shared" si="77"/>
        <v>2.7957899956751945E-3</v>
      </c>
      <c r="O65" s="46">
        <v>700</v>
      </c>
      <c r="P65" s="49">
        <f t="shared" si="78"/>
        <v>4.4159588294973642E-3</v>
      </c>
      <c r="Q65" s="46">
        <v>700</v>
      </c>
      <c r="R65" s="49">
        <f t="shared" si="79"/>
        <v>3.556269627385397E-3</v>
      </c>
      <c r="S65" s="46">
        <v>700</v>
      </c>
      <c r="T65" s="49">
        <f t="shared" si="80"/>
        <v>3.530219166582201E-3</v>
      </c>
      <c r="U65" s="46">
        <v>700</v>
      </c>
      <c r="V65" s="49">
        <f t="shared" si="81"/>
        <v>4.4505674579472998E-3</v>
      </c>
      <c r="W65" s="46">
        <v>700</v>
      </c>
      <c r="X65" s="49">
        <f t="shared" si="82"/>
        <v>4.3742734394988884E-3</v>
      </c>
      <c r="Y65" s="46">
        <v>700</v>
      </c>
      <c r="Z65" s="49">
        <f t="shared" si="83"/>
        <v>2.8955975244599323E-3</v>
      </c>
      <c r="AA65" s="405">
        <f t="shared" si="47"/>
        <v>8400</v>
      </c>
      <c r="AB65" s="416">
        <f t="shared" si="41"/>
        <v>3.7290728888918203E-3</v>
      </c>
      <c r="AC65" s="407">
        <f t="shared" si="1"/>
        <v>700</v>
      </c>
      <c r="AD65" s="417">
        <f t="shared" si="42"/>
        <v>3.7290728888918203E-3</v>
      </c>
      <c r="AE65" s="334">
        <f>127750*2%/12</f>
        <v>212.91666666666666</v>
      </c>
      <c r="AF65" s="54" t="s">
        <v>239</v>
      </c>
      <c r="AG65" s="289" t="s">
        <v>285</v>
      </c>
      <c r="AH65" s="21">
        <f t="shared" si="2"/>
        <v>3563</v>
      </c>
    </row>
    <row r="66" spans="1:34" s="289" customFormat="1" ht="21.75" customHeight="1">
      <c r="A66" s="128">
        <v>6125</v>
      </c>
      <c r="B66" s="371" t="s">
        <v>78</v>
      </c>
      <c r="C66" s="418">
        <v>81.86</v>
      </c>
      <c r="D66" s="415">
        <f t="shared" si="72"/>
        <v>4.8318075304422761E-4</v>
      </c>
      <c r="E66" s="418">
        <v>81.86</v>
      </c>
      <c r="F66" s="415">
        <f t="shared" si="73"/>
        <v>6.2105486768633165E-4</v>
      </c>
      <c r="G66" s="418">
        <v>81.86</v>
      </c>
      <c r="H66" s="415">
        <f t="shared" si="74"/>
        <v>3.7440376386647055E-4</v>
      </c>
      <c r="I66" s="418">
        <v>81.86</v>
      </c>
      <c r="J66" s="415">
        <f t="shared" si="75"/>
        <v>4.2401607602730439E-4</v>
      </c>
      <c r="K66" s="418">
        <v>81.86</v>
      </c>
      <c r="L66" s="415">
        <f t="shared" si="76"/>
        <v>4.6360726949038779E-4</v>
      </c>
      <c r="M66" s="418">
        <v>81.86</v>
      </c>
      <c r="N66" s="415">
        <f t="shared" si="77"/>
        <v>3.2694767006567348E-4</v>
      </c>
      <c r="O66" s="418">
        <v>81.86</v>
      </c>
      <c r="P66" s="415">
        <f t="shared" si="78"/>
        <v>5.1641484254664886E-4</v>
      </c>
      <c r="Q66" s="418">
        <v>81.86</v>
      </c>
      <c r="R66" s="415">
        <f t="shared" si="79"/>
        <v>4.1588033099681224E-4</v>
      </c>
      <c r="S66" s="418">
        <v>81.86</v>
      </c>
      <c r="T66" s="415">
        <f t="shared" si="80"/>
        <v>4.1283391568059849E-4</v>
      </c>
      <c r="U66" s="418">
        <v>81.86</v>
      </c>
      <c r="V66" s="415">
        <f t="shared" si="81"/>
        <v>5.2046207443937997E-4</v>
      </c>
      <c r="W66" s="418">
        <v>81.86</v>
      </c>
      <c r="X66" s="415">
        <f t="shared" si="82"/>
        <v>5.1154003393911291E-4</v>
      </c>
      <c r="Y66" s="418">
        <v>81.86</v>
      </c>
      <c r="Z66" s="415">
        <f t="shared" si="83"/>
        <v>3.3861944764612863E-4</v>
      </c>
      <c r="AA66" s="405">
        <f t="shared" si="47"/>
        <v>982.32</v>
      </c>
      <c r="AB66" s="416">
        <f t="shared" si="41"/>
        <v>4.3608843812097776E-4</v>
      </c>
      <c r="AC66" s="407">
        <f t="shared" si="1"/>
        <v>81.86</v>
      </c>
      <c r="AD66" s="417">
        <f t="shared" si="42"/>
        <v>4.3608843812097771E-4</v>
      </c>
      <c r="AE66" s="214"/>
      <c r="AF66" s="54"/>
      <c r="AH66" s="21">
        <f t="shared" si="2"/>
        <v>416.66739999999999</v>
      </c>
    </row>
    <row r="67" spans="1:34" s="289" customFormat="1" ht="21.75" customHeight="1">
      <c r="A67" s="2">
        <v>6126</v>
      </c>
      <c r="B67" s="371" t="s">
        <v>113</v>
      </c>
      <c r="C67" s="418"/>
      <c r="D67" s="415"/>
      <c r="E67" s="418"/>
      <c r="F67" s="415"/>
      <c r="G67" s="418"/>
      <c r="H67" s="415"/>
      <c r="I67" s="418"/>
      <c r="J67" s="415"/>
      <c r="K67" s="418"/>
      <c r="L67" s="415"/>
      <c r="M67" s="418"/>
      <c r="N67" s="415">
        <f t="shared" si="77"/>
        <v>0</v>
      </c>
      <c r="O67" s="418"/>
      <c r="P67" s="415">
        <f t="shared" si="78"/>
        <v>0</v>
      </c>
      <c r="Q67" s="418"/>
      <c r="R67" s="415"/>
      <c r="S67" s="418"/>
      <c r="T67" s="415"/>
      <c r="U67" s="418"/>
      <c r="V67" s="415"/>
      <c r="W67" s="418"/>
      <c r="X67" s="415"/>
      <c r="Y67" s="418"/>
      <c r="Z67" s="415"/>
      <c r="AA67" s="405">
        <f t="shared" si="47"/>
        <v>0</v>
      </c>
      <c r="AB67" s="416">
        <f t="shared" si="41"/>
        <v>0</v>
      </c>
      <c r="AC67" s="407">
        <f t="shared" si="1"/>
        <v>0</v>
      </c>
      <c r="AD67" s="417">
        <f t="shared" si="42"/>
        <v>0</v>
      </c>
      <c r="AE67" s="214"/>
      <c r="AF67" s="54"/>
      <c r="AH67" s="21">
        <f t="shared" si="2"/>
        <v>0</v>
      </c>
    </row>
    <row r="68" spans="1:34" s="289" customFormat="1" ht="21.75" customHeight="1">
      <c r="A68" s="128">
        <v>6127</v>
      </c>
      <c r="B68" s="371" t="s">
        <v>76</v>
      </c>
      <c r="C68" s="46">
        <v>197</v>
      </c>
      <c r="D68" s="49">
        <f>C68/C$12</f>
        <v>1.1627975610763845E-3</v>
      </c>
      <c r="E68" s="46">
        <v>197</v>
      </c>
      <c r="F68" s="49">
        <f>E68/E$12</f>
        <v>1.4945982034474388E-3</v>
      </c>
      <c r="G68" s="46">
        <v>197</v>
      </c>
      <c r="H68" s="49">
        <f>G68/G$12</f>
        <v>9.0102054094423037E-4</v>
      </c>
      <c r="I68" s="46">
        <v>197</v>
      </c>
      <c r="J68" s="49">
        <f>I68/I$12</f>
        <v>1.0204149398653673E-3</v>
      </c>
      <c r="K68" s="46">
        <v>197</v>
      </c>
      <c r="L68" s="49">
        <f>K68/K$12</f>
        <v>1.1156930379868848E-3</v>
      </c>
      <c r="M68" s="46">
        <v>197</v>
      </c>
      <c r="N68" s="49">
        <f>M68/M$12</f>
        <v>7.8681518449716186E-4</v>
      </c>
      <c r="O68" s="46">
        <v>197</v>
      </c>
      <c r="P68" s="49">
        <f>O68/O$12</f>
        <v>1.2427769848728295E-3</v>
      </c>
      <c r="Q68" s="46">
        <v>197</v>
      </c>
      <c r="R68" s="49">
        <f>Q68/Q$12</f>
        <v>1.0008358808498903E-3</v>
      </c>
      <c r="S68" s="46">
        <v>197</v>
      </c>
      <c r="T68" s="49">
        <f>S68/S$12</f>
        <v>9.9350453688099071E-4</v>
      </c>
      <c r="U68" s="46">
        <v>197</v>
      </c>
      <c r="V68" s="49">
        <f>U68/U$12</f>
        <v>1.2525168417365973E-3</v>
      </c>
      <c r="W68" s="46">
        <v>197</v>
      </c>
      <c r="X68" s="49">
        <f>W68/W$12</f>
        <v>1.2310455251161158E-3</v>
      </c>
      <c r="Y68" s="46">
        <v>197</v>
      </c>
      <c r="Z68" s="49">
        <f>Y68/Y$12</f>
        <v>8.1490387474086661E-4</v>
      </c>
      <c r="AA68" s="405">
        <f t="shared" si="47"/>
        <v>2364</v>
      </c>
      <c r="AB68" s="416">
        <f t="shared" si="41"/>
        <v>1.0494676558738408E-3</v>
      </c>
      <c r="AC68" s="407">
        <f t="shared" si="1"/>
        <v>197</v>
      </c>
      <c r="AD68" s="417">
        <f t="shared" si="42"/>
        <v>1.0494676558738408E-3</v>
      </c>
      <c r="AE68" s="214"/>
      <c r="AF68" s="54"/>
      <c r="AH68" s="21">
        <f t="shared" si="2"/>
        <v>1002.73</v>
      </c>
    </row>
    <row r="69" spans="1:34" s="289" customFormat="1" ht="21.75" customHeight="1">
      <c r="A69" s="2">
        <v>6129</v>
      </c>
      <c r="B69" s="371" t="s">
        <v>206</v>
      </c>
      <c r="C69" s="467"/>
      <c r="D69" s="416">
        <f t="shared" ref="D69:R75" si="84">C69/C$12</f>
        <v>0</v>
      </c>
      <c r="E69" s="467"/>
      <c r="F69" s="416">
        <f t="shared" ref="F69" si="85">E69/E$12</f>
        <v>0</v>
      </c>
      <c r="G69" s="467"/>
      <c r="H69" s="416">
        <f t="shared" ref="H69" si="86">G69/G$12</f>
        <v>0</v>
      </c>
      <c r="I69" s="467"/>
      <c r="J69" s="416">
        <f t="shared" ref="J69" si="87">I69/I$12</f>
        <v>0</v>
      </c>
      <c r="K69" s="467"/>
      <c r="L69" s="416">
        <f t="shared" ref="L69" si="88">K69/K$12</f>
        <v>0</v>
      </c>
      <c r="M69" s="467"/>
      <c r="N69" s="415">
        <f t="shared" si="77"/>
        <v>0</v>
      </c>
      <c r="O69" s="467"/>
      <c r="P69" s="415">
        <f t="shared" si="78"/>
        <v>0</v>
      </c>
      <c r="Q69" s="467"/>
      <c r="R69" s="416">
        <f t="shared" ref="R69" si="89">Q69/Q$12</f>
        <v>0</v>
      </c>
      <c r="S69" s="467"/>
      <c r="T69" s="416">
        <f t="shared" ref="T69:Z73" si="90">S69/S$12</f>
        <v>0</v>
      </c>
      <c r="U69" s="467"/>
      <c r="V69" s="416">
        <f t="shared" ref="V69" si="91">U69/U$12</f>
        <v>0</v>
      </c>
      <c r="W69" s="467"/>
      <c r="X69" s="468">
        <f t="shared" ref="X69" si="92">W69/W$12</f>
        <v>0</v>
      </c>
      <c r="Y69" s="467"/>
      <c r="Z69" s="415">
        <f t="shared" ref="Z69" si="93">Y69/Y$12</f>
        <v>0</v>
      </c>
      <c r="AA69" s="405">
        <f t="shared" si="47"/>
        <v>0</v>
      </c>
      <c r="AB69" s="416">
        <f t="shared" si="41"/>
        <v>0</v>
      </c>
      <c r="AC69" s="407">
        <f t="shared" si="1"/>
        <v>0</v>
      </c>
      <c r="AD69" s="417">
        <f t="shared" si="42"/>
        <v>0</v>
      </c>
      <c r="AE69" s="214"/>
      <c r="AF69" s="54"/>
      <c r="AH69" s="21">
        <f t="shared" si="2"/>
        <v>0</v>
      </c>
    </row>
    <row r="70" spans="1:34" s="289" customFormat="1" ht="21.75" customHeight="1">
      <c r="A70" s="2">
        <v>6131</v>
      </c>
      <c r="B70" s="371" t="s">
        <v>224</v>
      </c>
      <c r="C70" s="469">
        <v>131</v>
      </c>
      <c r="D70" s="416">
        <f t="shared" si="84"/>
        <v>7.7323086548734203E-4</v>
      </c>
      <c r="E70" s="469">
        <v>131</v>
      </c>
      <c r="F70" s="416">
        <f t="shared" si="84"/>
        <v>9.9386987132799227E-4</v>
      </c>
      <c r="G70" s="469">
        <v>131</v>
      </c>
      <c r="H70" s="416">
        <f t="shared" si="84"/>
        <v>5.9915579118626481E-4</v>
      </c>
      <c r="I70" s="469">
        <v>131</v>
      </c>
      <c r="J70" s="416">
        <f t="shared" si="84"/>
        <v>6.7855003615412742E-4</v>
      </c>
      <c r="K70" s="469">
        <v>131</v>
      </c>
      <c r="L70" s="416">
        <f t="shared" si="84"/>
        <v>7.4190755317909594E-4</v>
      </c>
      <c r="M70" s="469">
        <v>131</v>
      </c>
      <c r="N70" s="416">
        <f t="shared" si="84"/>
        <v>5.2321212776207209E-4</v>
      </c>
      <c r="O70" s="469">
        <v>131</v>
      </c>
      <c r="P70" s="416">
        <f t="shared" si="84"/>
        <v>8.2641515237736381E-4</v>
      </c>
      <c r="Q70" s="469">
        <v>131</v>
      </c>
      <c r="R70" s="416">
        <f t="shared" si="84"/>
        <v>6.6553045883926715E-4</v>
      </c>
      <c r="S70" s="469">
        <v>131</v>
      </c>
      <c r="T70" s="416">
        <f t="shared" si="90"/>
        <v>6.6065530117466898E-4</v>
      </c>
      <c r="U70" s="469">
        <v>131</v>
      </c>
      <c r="V70" s="416">
        <f t="shared" si="90"/>
        <v>8.328919099872804E-4</v>
      </c>
      <c r="W70" s="469">
        <v>131</v>
      </c>
      <c r="X70" s="416">
        <f t="shared" si="90"/>
        <v>8.186140293919348E-4</v>
      </c>
      <c r="Y70" s="469">
        <v>131</v>
      </c>
      <c r="Z70" s="416">
        <f t="shared" si="90"/>
        <v>5.4189039386321586E-4</v>
      </c>
      <c r="AA70" s="405">
        <f t="shared" si="47"/>
        <v>1572</v>
      </c>
      <c r="AB70" s="416">
        <f t="shared" si="41"/>
        <v>6.9786935492118353E-4</v>
      </c>
      <c r="AC70" s="407">
        <f t="shared" ref="AC70:AC143" si="94">AA70/12</f>
        <v>131</v>
      </c>
      <c r="AD70" s="416">
        <f t="shared" si="41"/>
        <v>6.9786935492118353E-4</v>
      </c>
      <c r="AE70" s="214"/>
      <c r="AF70" s="54"/>
      <c r="AH70" s="21"/>
    </row>
    <row r="71" spans="1:34" s="289" customFormat="1" ht="21.75" customHeight="1">
      <c r="A71" s="2">
        <v>6132</v>
      </c>
      <c r="B71" s="371" t="s">
        <v>225</v>
      </c>
      <c r="C71" s="469">
        <v>9</v>
      </c>
      <c r="D71" s="416">
        <f t="shared" si="84"/>
        <v>5.312273121668762E-5</v>
      </c>
      <c r="E71" s="469">
        <v>9</v>
      </c>
      <c r="F71" s="416">
        <f t="shared" si="84"/>
        <v>6.8281136198106333E-5</v>
      </c>
      <c r="G71" s="469">
        <v>9</v>
      </c>
      <c r="H71" s="416">
        <f t="shared" si="84"/>
        <v>4.1163374966995291E-5</v>
      </c>
      <c r="I71" s="469">
        <v>9</v>
      </c>
      <c r="J71" s="416">
        <f t="shared" si="84"/>
        <v>4.6617941415169064E-5</v>
      </c>
      <c r="K71" s="469">
        <v>9</v>
      </c>
      <c r="L71" s="416">
        <f t="shared" si="84"/>
        <v>5.0970747928334841E-5</v>
      </c>
      <c r="M71" s="469">
        <v>9</v>
      </c>
      <c r="N71" s="416">
        <f t="shared" si="84"/>
        <v>3.5945871372966786E-5</v>
      </c>
      <c r="O71" s="469">
        <v>9</v>
      </c>
      <c r="P71" s="416">
        <f t="shared" si="84"/>
        <v>5.6776613522108964E-5</v>
      </c>
      <c r="Q71" s="469">
        <v>9</v>
      </c>
      <c r="R71" s="416">
        <f t="shared" si="84"/>
        <v>4.5723466637812249E-5</v>
      </c>
      <c r="S71" s="469">
        <v>9</v>
      </c>
      <c r="T71" s="416">
        <f t="shared" si="90"/>
        <v>4.5388532141771152E-5</v>
      </c>
      <c r="U71" s="469">
        <v>9</v>
      </c>
      <c r="V71" s="416">
        <f t="shared" si="90"/>
        <v>5.722158160217957E-5</v>
      </c>
      <c r="W71" s="469">
        <v>9</v>
      </c>
      <c r="X71" s="416">
        <f t="shared" si="90"/>
        <v>5.6240658507842849E-5</v>
      </c>
      <c r="Y71" s="469">
        <v>9</v>
      </c>
      <c r="Z71" s="416">
        <f t="shared" si="90"/>
        <v>3.7229111028770561E-5</v>
      </c>
      <c r="AA71" s="405">
        <f t="shared" si="47"/>
        <v>108</v>
      </c>
      <c r="AB71" s="416">
        <f t="shared" si="41"/>
        <v>4.7945222857180547E-5</v>
      </c>
      <c r="AC71" s="407">
        <f t="shared" si="94"/>
        <v>9</v>
      </c>
      <c r="AD71" s="416">
        <f t="shared" si="41"/>
        <v>4.7945222857180547E-5</v>
      </c>
      <c r="AE71" s="214"/>
      <c r="AF71" s="54"/>
      <c r="AH71" s="21"/>
    </row>
    <row r="72" spans="1:34" s="289" customFormat="1" ht="21.75" customHeight="1">
      <c r="A72" s="2">
        <v>6133</v>
      </c>
      <c r="B72" s="371" t="s">
        <v>226</v>
      </c>
      <c r="C72" s="331">
        <v>25</v>
      </c>
      <c r="D72" s="108">
        <f t="shared" si="84"/>
        <v>1.4756314226857672E-4</v>
      </c>
      <c r="E72" s="331">
        <v>25</v>
      </c>
      <c r="F72" s="108">
        <f t="shared" si="84"/>
        <v>1.896698227725176E-4</v>
      </c>
      <c r="G72" s="331">
        <v>25</v>
      </c>
      <c r="H72" s="108">
        <f t="shared" si="84"/>
        <v>1.1434270824165359E-4</v>
      </c>
      <c r="I72" s="331">
        <v>25</v>
      </c>
      <c r="J72" s="108">
        <f t="shared" si="84"/>
        <v>1.2949428170880295E-4</v>
      </c>
      <c r="K72" s="331">
        <v>25</v>
      </c>
      <c r="L72" s="108">
        <f t="shared" si="84"/>
        <v>1.4158541091204122E-4</v>
      </c>
      <c r="M72" s="331">
        <v>25</v>
      </c>
      <c r="N72" s="108">
        <f t="shared" si="84"/>
        <v>9.9849642702685518E-5</v>
      </c>
      <c r="O72" s="331">
        <v>25</v>
      </c>
      <c r="P72" s="108">
        <f t="shared" si="84"/>
        <v>1.5771281533919157E-4</v>
      </c>
      <c r="Q72" s="331">
        <v>25</v>
      </c>
      <c r="R72" s="108">
        <f t="shared" si="84"/>
        <v>1.2700962954947847E-4</v>
      </c>
      <c r="S72" s="331">
        <v>25</v>
      </c>
      <c r="T72" s="108">
        <f t="shared" si="90"/>
        <v>1.2607925594936432E-4</v>
      </c>
      <c r="U72" s="331">
        <v>25</v>
      </c>
      <c r="V72" s="108">
        <f t="shared" si="90"/>
        <v>1.5894883778383215E-4</v>
      </c>
      <c r="W72" s="331">
        <v>25</v>
      </c>
      <c r="X72" s="108">
        <f t="shared" si="90"/>
        <v>1.562240514106746E-4</v>
      </c>
      <c r="Y72" s="331">
        <v>25</v>
      </c>
      <c r="Z72" s="108">
        <f t="shared" si="90"/>
        <v>1.0341419730214044E-4</v>
      </c>
      <c r="AA72" s="405">
        <f t="shared" si="47"/>
        <v>300</v>
      </c>
      <c r="AB72" s="416">
        <f t="shared" si="41"/>
        <v>1.331811746032793E-4</v>
      </c>
      <c r="AC72" s="407">
        <f t="shared" si="94"/>
        <v>25</v>
      </c>
      <c r="AD72" s="416">
        <f t="shared" si="41"/>
        <v>1.331811746032793E-4</v>
      </c>
      <c r="AE72" s="214"/>
      <c r="AF72" s="54"/>
      <c r="AH72" s="21"/>
    </row>
    <row r="73" spans="1:34" s="289" customFormat="1" ht="21.75" customHeight="1">
      <c r="A73" s="2">
        <v>6134</v>
      </c>
      <c r="B73" s="371" t="s">
        <v>227</v>
      </c>
      <c r="C73" s="469">
        <v>22.92</v>
      </c>
      <c r="D73" s="416">
        <f t="shared" si="84"/>
        <v>1.3528588883183115E-4</v>
      </c>
      <c r="E73" s="469">
        <v>22.92</v>
      </c>
      <c r="F73" s="416">
        <f t="shared" si="84"/>
        <v>1.7388929351784416E-4</v>
      </c>
      <c r="G73" s="469">
        <v>22.92</v>
      </c>
      <c r="H73" s="416">
        <f t="shared" si="84"/>
        <v>1.0482939491594803E-4</v>
      </c>
      <c r="I73" s="469">
        <v>22.92</v>
      </c>
      <c r="J73" s="416">
        <f t="shared" si="84"/>
        <v>1.1872035747063056E-4</v>
      </c>
      <c r="K73" s="469">
        <v>22.92</v>
      </c>
      <c r="L73" s="416">
        <f t="shared" si="84"/>
        <v>1.2980550472415939E-4</v>
      </c>
      <c r="M73" s="469">
        <v>22.92</v>
      </c>
      <c r="N73" s="416">
        <f t="shared" si="84"/>
        <v>9.1542152429822086E-5</v>
      </c>
      <c r="O73" s="469">
        <v>22.92</v>
      </c>
      <c r="P73" s="416">
        <f t="shared" si="84"/>
        <v>1.4459110910297084E-4</v>
      </c>
      <c r="Q73" s="469">
        <v>22.92</v>
      </c>
      <c r="R73" s="416">
        <f t="shared" si="84"/>
        <v>1.1644242837096187E-4</v>
      </c>
      <c r="S73" s="469">
        <v>22.92</v>
      </c>
      <c r="T73" s="416">
        <f t="shared" si="90"/>
        <v>1.1558946185437721E-4</v>
      </c>
      <c r="U73" s="469">
        <v>22.92</v>
      </c>
      <c r="V73" s="416">
        <f t="shared" si="90"/>
        <v>1.4572429448021733E-4</v>
      </c>
      <c r="W73" s="469">
        <v>22.92</v>
      </c>
      <c r="X73" s="416">
        <f t="shared" si="90"/>
        <v>1.4322621033330648E-4</v>
      </c>
      <c r="Y73" s="469">
        <v>22.92</v>
      </c>
      <c r="Z73" s="416">
        <f t="shared" si="90"/>
        <v>9.4810136086602364E-5</v>
      </c>
      <c r="AA73" s="405">
        <f t="shared" si="47"/>
        <v>275.04000000000008</v>
      </c>
      <c r="AB73" s="416">
        <f t="shared" si="41"/>
        <v>1.2210050087628648E-4</v>
      </c>
      <c r="AC73" s="407">
        <f t="shared" si="94"/>
        <v>22.920000000000005</v>
      </c>
      <c r="AD73" s="416">
        <f t="shared" si="41"/>
        <v>1.2210050087628648E-4</v>
      </c>
      <c r="AE73" s="214"/>
      <c r="AF73" s="54"/>
      <c r="AH73" s="21"/>
    </row>
    <row r="74" spans="1:34" s="289" customFormat="1" ht="21.75" customHeight="1">
      <c r="A74" s="2">
        <v>6135</v>
      </c>
      <c r="B74" s="371" t="s">
        <v>228</v>
      </c>
      <c r="C74" s="469"/>
      <c r="D74" s="416">
        <f t="shared" si="84"/>
        <v>0</v>
      </c>
      <c r="E74" s="469"/>
      <c r="F74" s="416"/>
      <c r="G74" s="469"/>
      <c r="H74" s="416"/>
      <c r="I74" s="469"/>
      <c r="J74" s="416"/>
      <c r="K74" s="469"/>
      <c r="L74" s="416"/>
      <c r="M74" s="469"/>
      <c r="N74" s="416"/>
      <c r="O74" s="469"/>
      <c r="P74" s="416"/>
      <c r="Q74" s="469"/>
      <c r="R74" s="416"/>
      <c r="S74" s="469"/>
      <c r="T74" s="416"/>
      <c r="U74" s="469"/>
      <c r="V74" s="416"/>
      <c r="W74" s="469"/>
      <c r="X74" s="416"/>
      <c r="Y74" s="469"/>
      <c r="Z74" s="416"/>
      <c r="AA74" s="405">
        <f t="shared" si="47"/>
        <v>0</v>
      </c>
      <c r="AB74" s="416"/>
      <c r="AC74" s="407"/>
      <c r="AD74" s="416"/>
      <c r="AE74" s="214"/>
      <c r="AF74" s="54"/>
      <c r="AH74" s="21"/>
    </row>
    <row r="75" spans="1:34" s="289" customFormat="1" ht="21.75" customHeight="1">
      <c r="A75" s="2">
        <v>6136</v>
      </c>
      <c r="B75" s="371" t="s">
        <v>249</v>
      </c>
      <c r="C75" s="331">
        <f>354/12</f>
        <v>29.5</v>
      </c>
      <c r="D75" s="108">
        <f t="shared" si="84"/>
        <v>1.7412450787692053E-4</v>
      </c>
      <c r="E75" s="331">
        <f>354/12</f>
        <v>29.5</v>
      </c>
      <c r="F75" s="108">
        <f t="shared" si="84"/>
        <v>2.2381039087157077E-4</v>
      </c>
      <c r="G75" s="331">
        <f>354/12</f>
        <v>29.5</v>
      </c>
      <c r="H75" s="108">
        <f t="shared" si="84"/>
        <v>1.3492439572515124E-4</v>
      </c>
      <c r="I75" s="331">
        <f>354/12</f>
        <v>29.5</v>
      </c>
      <c r="J75" s="108">
        <f t="shared" si="84"/>
        <v>1.5280325241638748E-4</v>
      </c>
      <c r="K75" s="331">
        <f>354/12</f>
        <v>29.5</v>
      </c>
      <c r="L75" s="108">
        <f t="shared" si="84"/>
        <v>1.6707078487620863E-4</v>
      </c>
      <c r="M75" s="331">
        <f>354/12</f>
        <v>29.5</v>
      </c>
      <c r="N75" s="108">
        <f t="shared" si="84"/>
        <v>1.1782257838916891E-4</v>
      </c>
      <c r="O75" s="331">
        <f>354/12</f>
        <v>29.5</v>
      </c>
      <c r="P75" s="108">
        <f t="shared" si="84"/>
        <v>1.8610112210024605E-4</v>
      </c>
      <c r="Q75" s="331">
        <f>354/12</f>
        <v>29.5</v>
      </c>
      <c r="R75" s="108">
        <f t="shared" si="84"/>
        <v>1.4987136286838458E-4</v>
      </c>
      <c r="S75" s="331">
        <f>354/12</f>
        <v>29.5</v>
      </c>
      <c r="T75" s="108">
        <f t="shared" ref="T75:Z75" si="95">S75/S$12</f>
        <v>1.4877352202024988E-4</v>
      </c>
      <c r="U75" s="331">
        <f>354/12</f>
        <v>29.5</v>
      </c>
      <c r="V75" s="108">
        <f t="shared" si="95"/>
        <v>1.8755962858492192E-4</v>
      </c>
      <c r="W75" s="331">
        <f>354/12</f>
        <v>29.5</v>
      </c>
      <c r="X75" s="108">
        <f t="shared" si="95"/>
        <v>1.84344380664596E-4</v>
      </c>
      <c r="Y75" s="331">
        <f>354/12</f>
        <v>29.5</v>
      </c>
      <c r="Z75" s="108">
        <f t="shared" si="95"/>
        <v>1.2202875281652572E-4</v>
      </c>
      <c r="AA75" s="405">
        <f t="shared" si="47"/>
        <v>354</v>
      </c>
      <c r="AB75" s="416">
        <f t="shared" si="41"/>
        <v>1.5715378603186958E-4</v>
      </c>
      <c r="AC75" s="407">
        <f t="shared" si="94"/>
        <v>29.5</v>
      </c>
      <c r="AD75" s="416">
        <f t="shared" si="41"/>
        <v>1.5715378603186958E-4</v>
      </c>
      <c r="AE75" s="214"/>
      <c r="AF75" s="54"/>
      <c r="AH75" s="21"/>
    </row>
    <row r="76" spans="1:34" s="289" customFormat="1" ht="21.75" customHeight="1" thickBot="1">
      <c r="A76" s="4">
        <v>6199</v>
      </c>
      <c r="B76" s="376" t="s">
        <v>23</v>
      </c>
      <c r="C76" s="442">
        <f>SUM(C42:C75)</f>
        <v>47992.924999999996</v>
      </c>
      <c r="D76" s="421">
        <f>C76/C12</f>
        <v>0.28327947278640525</v>
      </c>
      <c r="E76" s="442">
        <f>SUM(E42:E75)</f>
        <v>47992.924999999996</v>
      </c>
      <c r="F76" s="421">
        <f>E76/E12</f>
        <v>0.36411238316338912</v>
      </c>
      <c r="G76" s="442">
        <f>SUM(G42:G75)</f>
        <v>47992.924999999996</v>
      </c>
      <c r="H76" s="421">
        <f>G76/G12</f>
        <v>0.21950564083754248</v>
      </c>
      <c r="I76" s="442">
        <f>SUM(I42:I75)</f>
        <v>47992.924999999996</v>
      </c>
      <c r="J76" s="421">
        <f>I76/I12</f>
        <v>0.24859237399917805</v>
      </c>
      <c r="K76" s="442">
        <f>SUM(K42:K75)</f>
        <v>47992.924999999996</v>
      </c>
      <c r="L76" s="421">
        <f>K76/K12</f>
        <v>0.27180392027983102</v>
      </c>
      <c r="M76" s="442">
        <f>SUM(M42:M75)</f>
        <v>50492.924999999996</v>
      </c>
      <c r="N76" s="421">
        <f>M76/M12</f>
        <v>0.20166802081053986</v>
      </c>
      <c r="O76" s="442">
        <f>SUM(O42:O75)</f>
        <v>50492.924999999996</v>
      </c>
      <c r="P76" s="421">
        <f>O76/O12</f>
        <v>0.31853525425842594</v>
      </c>
      <c r="Q76" s="442">
        <f>SUM(Q42:Q75)</f>
        <v>50492.924999999996</v>
      </c>
      <c r="R76" s="421">
        <f>Q76/Q12</f>
        <v>0.25652350796478396</v>
      </c>
      <c r="S76" s="442">
        <f>SUM(S42:S75)</f>
        <v>50492.924999999996</v>
      </c>
      <c r="T76" s="421">
        <f t="shared" ref="T76:Z90" si="96">S76/S$12</f>
        <v>0.25464441658828224</v>
      </c>
      <c r="U76" s="442">
        <f>SUM(U42:U75)</f>
        <v>50492.924999999996</v>
      </c>
      <c r="V76" s="421">
        <f>U76/U12</f>
        <v>0.32103166980224807</v>
      </c>
      <c r="W76" s="442">
        <f>SUM(W42:W75)</f>
        <v>50492.924999999996</v>
      </c>
      <c r="X76" s="421">
        <f>W76/W12</f>
        <v>0.31552837244301341</v>
      </c>
      <c r="Y76" s="442">
        <f>SUM(Y42:Y75)</f>
        <v>50492.924999999996</v>
      </c>
      <c r="Z76" s="421">
        <f t="shared" si="96"/>
        <v>0.20886741233248715</v>
      </c>
      <c r="AA76" s="442">
        <f>SUM(AA42:AA75)</f>
        <v>593415.09999999974</v>
      </c>
      <c r="AB76" s="423">
        <f t="shared" si="41"/>
        <v>0.26343906681774137</v>
      </c>
      <c r="AC76" s="442">
        <f t="shared" si="94"/>
        <v>49451.25833333331</v>
      </c>
      <c r="AD76" s="425">
        <f t="shared" si="42"/>
        <v>0.26343906681774132</v>
      </c>
      <c r="AE76" s="218"/>
      <c r="AF76" s="219"/>
      <c r="AG76" s="209"/>
      <c r="AH76" s="21">
        <f t="shared" ref="AH76:AH148" si="97">Q76*5.09</f>
        <v>257008.98824999997</v>
      </c>
    </row>
    <row r="77" spans="1:34" s="289" customFormat="1" ht="21.75" customHeight="1" thickTop="1">
      <c r="A77" s="2">
        <v>6201</v>
      </c>
      <c r="B77" s="371" t="s">
        <v>24</v>
      </c>
      <c r="C77" s="412">
        <v>9810</v>
      </c>
      <c r="D77" s="415">
        <f t="shared" ref="D77:D92" si="98">C77/C$12</f>
        <v>5.7903777026189505E-2</v>
      </c>
      <c r="E77" s="412">
        <v>9810</v>
      </c>
      <c r="F77" s="415">
        <f t="shared" ref="F77:F92" si="99">E77/E$12</f>
        <v>7.4426438455935912E-2</v>
      </c>
      <c r="G77" s="412">
        <v>9810</v>
      </c>
      <c r="H77" s="415">
        <f t="shared" ref="H77:H92" si="100">G77/G$12</f>
        <v>4.4868078714024873E-2</v>
      </c>
      <c r="I77" s="412">
        <v>9810</v>
      </c>
      <c r="J77" s="415">
        <f t="shared" ref="J77:J92" si="101">I77/I$12</f>
        <v>5.0813556142534279E-2</v>
      </c>
      <c r="K77" s="412">
        <v>9810</v>
      </c>
      <c r="L77" s="415">
        <f t="shared" ref="L77:L92" si="102">K77/K$12</f>
        <v>5.5558115241884976E-2</v>
      </c>
      <c r="M77" s="412">
        <v>9810</v>
      </c>
      <c r="N77" s="415">
        <f t="shared" ref="N77:N92" si="103">M77/M$12</f>
        <v>3.9180999796533798E-2</v>
      </c>
      <c r="O77" s="412">
        <v>9810</v>
      </c>
      <c r="P77" s="415">
        <f t="shared" ref="P77:P92" si="104">O77/O$12</f>
        <v>6.1886508739098768E-2</v>
      </c>
      <c r="Q77" s="412">
        <v>9810</v>
      </c>
      <c r="R77" s="415">
        <f t="shared" ref="R77:R92" si="105">Q77/Q$12</f>
        <v>4.9838578635215347E-2</v>
      </c>
      <c r="S77" s="412">
        <v>9810</v>
      </c>
      <c r="T77" s="415">
        <f t="shared" si="96"/>
        <v>4.9473500034530556E-2</v>
      </c>
      <c r="U77" s="412">
        <v>9810</v>
      </c>
      <c r="V77" s="415">
        <f t="shared" ref="V77:V92" si="106">U77/U$12</f>
        <v>6.2371523946375733E-2</v>
      </c>
      <c r="W77" s="412">
        <v>9810</v>
      </c>
      <c r="X77" s="415">
        <f t="shared" ref="X77:X92" si="107">W77/W$12</f>
        <v>6.1302317773548706E-2</v>
      </c>
      <c r="Y77" s="412">
        <v>9810</v>
      </c>
      <c r="Z77" s="415">
        <f t="shared" si="96"/>
        <v>4.0579731021359908E-2</v>
      </c>
      <c r="AA77" s="405">
        <f t="shared" ref="AA77:AA92" si="108">C77+E77+G77+I77+K77+M77+O77+Q77+S77+U77+W77+Y77</f>
        <v>117720</v>
      </c>
      <c r="AB77" s="416">
        <f t="shared" si="41"/>
        <v>5.2260292914326795E-2</v>
      </c>
      <c r="AC77" s="407">
        <f t="shared" si="94"/>
        <v>9810</v>
      </c>
      <c r="AD77" s="417">
        <f t="shared" si="42"/>
        <v>5.2260292914326795E-2</v>
      </c>
      <c r="AE77" s="214"/>
      <c r="AF77" s="54"/>
      <c r="AH77" s="21">
        <f t="shared" si="97"/>
        <v>49932.9</v>
      </c>
    </row>
    <row r="78" spans="1:34" s="289" customFormat="1" ht="21.75" customHeight="1">
      <c r="A78" s="2">
        <v>6202</v>
      </c>
      <c r="B78" s="371" t="s">
        <v>25</v>
      </c>
      <c r="C78" s="412"/>
      <c r="D78" s="415">
        <f t="shared" si="98"/>
        <v>0</v>
      </c>
      <c r="E78" s="412"/>
      <c r="F78" s="415">
        <f t="shared" si="99"/>
        <v>0</v>
      </c>
      <c r="G78" s="412"/>
      <c r="H78" s="415">
        <f t="shared" si="100"/>
        <v>0</v>
      </c>
      <c r="I78" s="412"/>
      <c r="J78" s="415">
        <f t="shared" si="101"/>
        <v>0</v>
      </c>
      <c r="K78" s="412"/>
      <c r="L78" s="415">
        <f t="shared" si="102"/>
        <v>0</v>
      </c>
      <c r="M78" s="412"/>
      <c r="N78" s="415">
        <f t="shared" si="103"/>
        <v>0</v>
      </c>
      <c r="O78" s="412"/>
      <c r="P78" s="415">
        <f t="shared" si="104"/>
        <v>0</v>
      </c>
      <c r="Q78" s="412"/>
      <c r="R78" s="415">
        <f t="shared" si="105"/>
        <v>0</v>
      </c>
      <c r="S78" s="412"/>
      <c r="T78" s="415">
        <f t="shared" si="96"/>
        <v>0</v>
      </c>
      <c r="U78" s="412"/>
      <c r="V78" s="415">
        <f t="shared" si="106"/>
        <v>0</v>
      </c>
      <c r="W78" s="412"/>
      <c r="X78" s="415">
        <f t="shared" si="107"/>
        <v>0</v>
      </c>
      <c r="Y78" s="412"/>
      <c r="Z78" s="415">
        <f t="shared" si="96"/>
        <v>0</v>
      </c>
      <c r="AA78" s="405">
        <f t="shared" si="108"/>
        <v>0</v>
      </c>
      <c r="AB78" s="416">
        <f t="shared" si="41"/>
        <v>0</v>
      </c>
      <c r="AC78" s="407">
        <f t="shared" si="94"/>
        <v>0</v>
      </c>
      <c r="AD78" s="417">
        <f t="shared" si="42"/>
        <v>0</v>
      </c>
      <c r="AE78" s="214"/>
      <c r="AF78" s="54"/>
      <c r="AH78" s="21">
        <f t="shared" si="97"/>
        <v>0</v>
      </c>
    </row>
    <row r="79" spans="1:34" s="289" customFormat="1" ht="21.75" customHeight="1">
      <c r="A79" s="2">
        <v>6203</v>
      </c>
      <c r="B79" s="371" t="s">
        <v>26</v>
      </c>
      <c r="C79" s="412">
        <v>1090</v>
      </c>
      <c r="D79" s="415">
        <f t="shared" si="98"/>
        <v>6.4337530029099452E-3</v>
      </c>
      <c r="E79" s="412">
        <v>1090</v>
      </c>
      <c r="F79" s="415">
        <f t="shared" si="99"/>
        <v>8.2696042728817674E-3</v>
      </c>
      <c r="G79" s="412">
        <v>1090</v>
      </c>
      <c r="H79" s="415">
        <f t="shared" si="100"/>
        <v>4.985342079336097E-3</v>
      </c>
      <c r="I79" s="412">
        <v>1090</v>
      </c>
      <c r="J79" s="415">
        <f t="shared" si="101"/>
        <v>5.645950682503809E-3</v>
      </c>
      <c r="K79" s="412">
        <v>1090</v>
      </c>
      <c r="L79" s="415">
        <f t="shared" si="102"/>
        <v>6.1731239157649968E-3</v>
      </c>
      <c r="M79" s="412">
        <v>1090</v>
      </c>
      <c r="N79" s="415">
        <f t="shared" si="103"/>
        <v>4.3534444218370884E-3</v>
      </c>
      <c r="O79" s="412">
        <v>1090</v>
      </c>
      <c r="P79" s="415">
        <f t="shared" si="104"/>
        <v>6.8762787487887519E-3</v>
      </c>
      <c r="Q79" s="412">
        <v>1090</v>
      </c>
      <c r="R79" s="415">
        <f t="shared" si="105"/>
        <v>5.5376198483572609E-3</v>
      </c>
      <c r="S79" s="412">
        <v>1090</v>
      </c>
      <c r="T79" s="415">
        <f t="shared" si="96"/>
        <v>5.4970555593922841E-3</v>
      </c>
      <c r="U79" s="412">
        <v>1090</v>
      </c>
      <c r="V79" s="415">
        <f t="shared" si="106"/>
        <v>6.9301693273750809E-3</v>
      </c>
      <c r="W79" s="412">
        <v>1090</v>
      </c>
      <c r="X79" s="415">
        <f t="shared" si="107"/>
        <v>6.8113686415054121E-3</v>
      </c>
      <c r="Y79" s="412">
        <v>1090</v>
      </c>
      <c r="Z79" s="415">
        <f t="shared" si="96"/>
        <v>4.5088590023733234E-3</v>
      </c>
      <c r="AA79" s="405">
        <f t="shared" si="108"/>
        <v>13080</v>
      </c>
      <c r="AB79" s="416">
        <f t="shared" si="41"/>
        <v>5.806699212702977E-3</v>
      </c>
      <c r="AC79" s="407">
        <f t="shared" si="94"/>
        <v>1090</v>
      </c>
      <c r="AD79" s="417">
        <f t="shared" si="42"/>
        <v>5.806699212702977E-3</v>
      </c>
      <c r="AE79" s="214"/>
      <c r="AF79" s="54"/>
      <c r="AH79" s="21">
        <f t="shared" si="97"/>
        <v>5548.0999999999995</v>
      </c>
    </row>
    <row r="80" spans="1:34" s="289" customFormat="1" ht="21.75" customHeight="1">
      <c r="A80" s="2">
        <v>6204</v>
      </c>
      <c r="B80" s="371" t="s">
        <v>27</v>
      </c>
      <c r="C80" s="418"/>
      <c r="D80" s="415">
        <f t="shared" si="98"/>
        <v>0</v>
      </c>
      <c r="E80" s="418"/>
      <c r="F80" s="415">
        <f t="shared" si="99"/>
        <v>0</v>
      </c>
      <c r="G80" s="418"/>
      <c r="H80" s="415">
        <f t="shared" si="100"/>
        <v>0</v>
      </c>
      <c r="I80" s="418"/>
      <c r="J80" s="415">
        <f t="shared" si="101"/>
        <v>0</v>
      </c>
      <c r="K80" s="418"/>
      <c r="L80" s="415">
        <f t="shared" si="102"/>
        <v>0</v>
      </c>
      <c r="M80" s="418"/>
      <c r="N80" s="415">
        <f t="shared" si="103"/>
        <v>0</v>
      </c>
      <c r="O80" s="418"/>
      <c r="P80" s="415">
        <f t="shared" si="104"/>
        <v>0</v>
      </c>
      <c r="Q80" s="418"/>
      <c r="R80" s="415">
        <f t="shared" si="105"/>
        <v>0</v>
      </c>
      <c r="S80" s="418"/>
      <c r="T80" s="415">
        <f t="shared" si="96"/>
        <v>0</v>
      </c>
      <c r="U80" s="418"/>
      <c r="V80" s="415">
        <f t="shared" si="106"/>
        <v>0</v>
      </c>
      <c r="W80" s="418"/>
      <c r="X80" s="415">
        <f t="shared" si="107"/>
        <v>0</v>
      </c>
      <c r="Y80" s="418"/>
      <c r="Z80" s="415">
        <f t="shared" si="96"/>
        <v>0</v>
      </c>
      <c r="AA80" s="405">
        <f t="shared" si="108"/>
        <v>0</v>
      </c>
      <c r="AB80" s="416">
        <f t="shared" si="41"/>
        <v>0</v>
      </c>
      <c r="AC80" s="407">
        <f t="shared" si="94"/>
        <v>0</v>
      </c>
      <c r="AD80" s="417">
        <f t="shared" si="42"/>
        <v>0</v>
      </c>
      <c r="AE80" s="214"/>
      <c r="AF80" s="54"/>
      <c r="AH80" s="21">
        <f t="shared" si="97"/>
        <v>0</v>
      </c>
    </row>
    <row r="81" spans="1:34" s="289" customFormat="1" ht="21.75" customHeight="1">
      <c r="A81" s="2">
        <v>6205</v>
      </c>
      <c r="B81" s="371" t="s">
        <v>28</v>
      </c>
      <c r="C81" s="418"/>
      <c r="D81" s="415">
        <f t="shared" si="98"/>
        <v>0</v>
      </c>
      <c r="E81" s="418"/>
      <c r="F81" s="415">
        <f t="shared" si="99"/>
        <v>0</v>
      </c>
      <c r="G81" s="418"/>
      <c r="H81" s="415">
        <f t="shared" si="100"/>
        <v>0</v>
      </c>
      <c r="I81" s="418"/>
      <c r="J81" s="415">
        <f t="shared" si="101"/>
        <v>0</v>
      </c>
      <c r="K81" s="418"/>
      <c r="L81" s="415">
        <f t="shared" si="102"/>
        <v>0</v>
      </c>
      <c r="M81" s="418"/>
      <c r="N81" s="415">
        <f t="shared" si="103"/>
        <v>0</v>
      </c>
      <c r="O81" s="418"/>
      <c r="P81" s="415">
        <f t="shared" si="104"/>
        <v>0</v>
      </c>
      <c r="Q81" s="418"/>
      <c r="R81" s="415">
        <f t="shared" si="105"/>
        <v>0</v>
      </c>
      <c r="S81" s="418"/>
      <c r="T81" s="415">
        <f t="shared" si="96"/>
        <v>0</v>
      </c>
      <c r="U81" s="418"/>
      <c r="V81" s="415">
        <f t="shared" si="106"/>
        <v>0</v>
      </c>
      <c r="W81" s="418"/>
      <c r="X81" s="415">
        <f t="shared" si="107"/>
        <v>0</v>
      </c>
      <c r="Y81" s="418"/>
      <c r="Z81" s="415">
        <f t="shared" si="96"/>
        <v>0</v>
      </c>
      <c r="AA81" s="405">
        <f t="shared" si="108"/>
        <v>0</v>
      </c>
      <c r="AB81" s="416">
        <f t="shared" si="41"/>
        <v>0</v>
      </c>
      <c r="AC81" s="407">
        <f t="shared" si="94"/>
        <v>0</v>
      </c>
      <c r="AD81" s="417">
        <f t="shared" si="42"/>
        <v>0</v>
      </c>
      <c r="AE81" s="214"/>
      <c r="AF81" s="54"/>
      <c r="AH81" s="21">
        <f t="shared" si="97"/>
        <v>0</v>
      </c>
    </row>
    <row r="82" spans="1:34" s="289" customFormat="1" ht="21.75" customHeight="1">
      <c r="A82" s="2">
        <v>6206</v>
      </c>
      <c r="B82" s="371" t="s">
        <v>193</v>
      </c>
      <c r="C82" s="418">
        <v>175.08333333333331</v>
      </c>
      <c r="D82" s="415">
        <f t="shared" si="98"/>
        <v>1.0334338730209323E-3</v>
      </c>
      <c r="E82" s="418">
        <v>175.08333333333331</v>
      </c>
      <c r="F82" s="415">
        <f t="shared" si="99"/>
        <v>1.3283209921501982E-3</v>
      </c>
      <c r="G82" s="418">
        <v>175.08333333333331</v>
      </c>
      <c r="H82" s="415">
        <f t="shared" si="100"/>
        <v>8.0078010005238062E-4</v>
      </c>
      <c r="I82" s="418">
        <v>175.08333333333331</v>
      </c>
      <c r="J82" s="415">
        <f t="shared" si="101"/>
        <v>9.0689161956731656E-4</v>
      </c>
      <c r="K82" s="418">
        <v>175.08333333333331</v>
      </c>
      <c r="L82" s="415">
        <f t="shared" si="102"/>
        <v>9.9156982775399521E-4</v>
      </c>
      <c r="M82" s="418">
        <v>175.08333333333331</v>
      </c>
      <c r="N82" s="415">
        <f t="shared" si="103"/>
        <v>6.9928033106114089E-4</v>
      </c>
      <c r="O82" s="418">
        <v>175.08333333333331</v>
      </c>
      <c r="P82" s="415">
        <f t="shared" si="104"/>
        <v>1.1045154167588049E-3</v>
      </c>
      <c r="Q82" s="418">
        <v>175.08333333333331</v>
      </c>
      <c r="R82" s="415">
        <f t="shared" si="105"/>
        <v>8.8949077227818069E-4</v>
      </c>
      <c r="S82" s="418">
        <v>175.08333333333331</v>
      </c>
      <c r="T82" s="415">
        <f t="shared" si="96"/>
        <v>8.8297505583204801E-4</v>
      </c>
      <c r="U82" s="418">
        <v>175.08333333333331</v>
      </c>
      <c r="V82" s="415">
        <f t="shared" si="106"/>
        <v>1.1131716939461044E-3</v>
      </c>
      <c r="W82" s="418">
        <v>175.08333333333331</v>
      </c>
      <c r="X82" s="415">
        <f t="shared" si="107"/>
        <v>1.0940891067127577E-3</v>
      </c>
      <c r="Y82" s="418">
        <v>175.08333333333331</v>
      </c>
      <c r="Z82" s="415">
        <f t="shared" si="96"/>
        <v>7.2424409510599011E-4</v>
      </c>
      <c r="AA82" s="405">
        <f t="shared" si="108"/>
        <v>2100.9999999999995</v>
      </c>
      <c r="AB82" s="416">
        <f t="shared" si="41"/>
        <v>9.3271215947163244E-4</v>
      </c>
      <c r="AC82" s="407">
        <f t="shared" si="94"/>
        <v>175.08333333333329</v>
      </c>
      <c r="AD82" s="417">
        <f t="shared" si="42"/>
        <v>9.3271215947163244E-4</v>
      </c>
      <c r="AE82" s="309">
        <f>5*200</f>
        <v>1000</v>
      </c>
      <c r="AF82" s="54"/>
      <c r="AH82" s="21">
        <f t="shared" si="97"/>
        <v>891.17416666666657</v>
      </c>
    </row>
    <row r="83" spans="1:34" s="289" customFormat="1" ht="21.75" customHeight="1">
      <c r="A83" s="2">
        <v>6207</v>
      </c>
      <c r="B83" s="371" t="s">
        <v>194</v>
      </c>
      <c r="C83" s="418"/>
      <c r="D83" s="415">
        <f t="shared" si="98"/>
        <v>0</v>
      </c>
      <c r="E83" s="418"/>
      <c r="F83" s="415">
        <f t="shared" si="99"/>
        <v>0</v>
      </c>
      <c r="G83" s="418"/>
      <c r="H83" s="415">
        <f t="shared" si="100"/>
        <v>0</v>
      </c>
      <c r="I83" s="418"/>
      <c r="J83" s="415">
        <f t="shared" si="101"/>
        <v>0</v>
      </c>
      <c r="K83" s="418"/>
      <c r="L83" s="415">
        <f t="shared" si="102"/>
        <v>0</v>
      </c>
      <c r="M83" s="418"/>
      <c r="N83" s="415">
        <f t="shared" si="103"/>
        <v>0</v>
      </c>
      <c r="O83" s="418"/>
      <c r="P83" s="415">
        <f t="shared" si="104"/>
        <v>0</v>
      </c>
      <c r="Q83" s="418"/>
      <c r="R83" s="415">
        <f t="shared" si="105"/>
        <v>0</v>
      </c>
      <c r="S83" s="418"/>
      <c r="T83" s="415">
        <f t="shared" si="96"/>
        <v>0</v>
      </c>
      <c r="U83" s="418"/>
      <c r="V83" s="415">
        <f t="shared" si="106"/>
        <v>0</v>
      </c>
      <c r="W83" s="418"/>
      <c r="X83" s="415">
        <f t="shared" si="107"/>
        <v>0</v>
      </c>
      <c r="Y83" s="418"/>
      <c r="Z83" s="415">
        <f t="shared" si="96"/>
        <v>0</v>
      </c>
      <c r="AA83" s="405">
        <f t="shared" si="108"/>
        <v>0</v>
      </c>
      <c r="AB83" s="416">
        <f t="shared" si="41"/>
        <v>0</v>
      </c>
      <c r="AC83" s="407">
        <f t="shared" si="94"/>
        <v>0</v>
      </c>
      <c r="AD83" s="417">
        <f t="shared" si="42"/>
        <v>0</v>
      </c>
      <c r="AE83" s="214"/>
      <c r="AF83" s="54"/>
      <c r="AH83" s="21">
        <f t="shared" si="97"/>
        <v>0</v>
      </c>
    </row>
    <row r="84" spans="1:34" s="289" customFormat="1" ht="21.75" customHeight="1">
      <c r="A84" s="2">
        <v>6208</v>
      </c>
      <c r="B84" s="371" t="s">
        <v>195</v>
      </c>
      <c r="C84" s="418"/>
      <c r="D84" s="415">
        <f t="shared" si="98"/>
        <v>0</v>
      </c>
      <c r="E84" s="418"/>
      <c r="F84" s="415">
        <f t="shared" si="99"/>
        <v>0</v>
      </c>
      <c r="G84" s="418"/>
      <c r="H84" s="415">
        <f t="shared" si="100"/>
        <v>0</v>
      </c>
      <c r="I84" s="418"/>
      <c r="J84" s="415">
        <f t="shared" si="101"/>
        <v>0</v>
      </c>
      <c r="K84" s="418"/>
      <c r="L84" s="415">
        <f t="shared" si="102"/>
        <v>0</v>
      </c>
      <c r="M84" s="418"/>
      <c r="N84" s="415">
        <f t="shared" si="103"/>
        <v>0</v>
      </c>
      <c r="O84" s="418"/>
      <c r="P84" s="415">
        <f t="shared" si="104"/>
        <v>0</v>
      </c>
      <c r="Q84" s="418"/>
      <c r="R84" s="415">
        <f t="shared" si="105"/>
        <v>0</v>
      </c>
      <c r="S84" s="418"/>
      <c r="T84" s="415">
        <f t="shared" si="96"/>
        <v>0</v>
      </c>
      <c r="U84" s="418"/>
      <c r="V84" s="415">
        <f t="shared" si="106"/>
        <v>0</v>
      </c>
      <c r="W84" s="418"/>
      <c r="X84" s="415">
        <f t="shared" si="107"/>
        <v>0</v>
      </c>
      <c r="Y84" s="418"/>
      <c r="Z84" s="415">
        <f t="shared" si="96"/>
        <v>0</v>
      </c>
      <c r="AA84" s="405">
        <f t="shared" si="108"/>
        <v>0</v>
      </c>
      <c r="AB84" s="416">
        <f t="shared" si="41"/>
        <v>0</v>
      </c>
      <c r="AC84" s="407">
        <f t="shared" si="94"/>
        <v>0</v>
      </c>
      <c r="AD84" s="417">
        <f t="shared" si="42"/>
        <v>0</v>
      </c>
      <c r="AE84" s="214"/>
      <c r="AF84" s="54"/>
      <c r="AH84" s="21">
        <f t="shared" si="97"/>
        <v>0</v>
      </c>
    </row>
    <row r="85" spans="1:34" s="289" customFormat="1" ht="21.75" customHeight="1">
      <c r="A85" s="2">
        <v>6209</v>
      </c>
      <c r="B85" s="374" t="s">
        <v>29</v>
      </c>
      <c r="C85" s="418">
        <v>423.88888888888886</v>
      </c>
      <c r="D85" s="415">
        <f t="shared" si="98"/>
        <v>2.5020150566872007E-3</v>
      </c>
      <c r="E85" s="418">
        <v>423.88888888888886</v>
      </c>
      <c r="F85" s="415">
        <f t="shared" si="99"/>
        <v>3.2159572172317983E-3</v>
      </c>
      <c r="G85" s="418">
        <v>423.88888888888886</v>
      </c>
      <c r="H85" s="415">
        <f t="shared" si="100"/>
        <v>1.9387441419640374E-3</v>
      </c>
      <c r="I85" s="418">
        <v>423.88888888888886</v>
      </c>
      <c r="J85" s="415">
        <f t="shared" si="101"/>
        <v>2.1956474876403697E-3</v>
      </c>
      <c r="K85" s="418">
        <v>423.88888888888886</v>
      </c>
      <c r="L85" s="415">
        <f t="shared" si="102"/>
        <v>2.4006593005752763E-3</v>
      </c>
      <c r="M85" s="418">
        <v>423.88888888888886</v>
      </c>
      <c r="N85" s="415">
        <f t="shared" si="103"/>
        <v>1.6930061640477567E-3</v>
      </c>
      <c r="O85" s="418">
        <v>423.88888888888886</v>
      </c>
      <c r="P85" s="415">
        <f t="shared" si="104"/>
        <v>2.6741084023067367E-3</v>
      </c>
      <c r="Q85" s="418">
        <v>423.88888888888886</v>
      </c>
      <c r="R85" s="415">
        <f t="shared" si="105"/>
        <v>2.1535188299167123E-3</v>
      </c>
      <c r="S85" s="418">
        <v>423.88888888888886</v>
      </c>
      <c r="T85" s="415">
        <f t="shared" si="96"/>
        <v>2.1377438286525547E-3</v>
      </c>
      <c r="U85" s="418">
        <v>423.88888888888886</v>
      </c>
      <c r="V85" s="415">
        <f t="shared" si="106"/>
        <v>2.6950658495347537E-3</v>
      </c>
      <c r="W85" s="418">
        <v>423.88888888888886</v>
      </c>
      <c r="X85" s="415">
        <f t="shared" si="107"/>
        <v>2.64886558280766E-3</v>
      </c>
      <c r="Y85" s="418">
        <v>423.88888888888886</v>
      </c>
      <c r="Z85" s="415">
        <f t="shared" si="96"/>
        <v>1.7534451675896255E-3</v>
      </c>
      <c r="AA85" s="405">
        <f t="shared" si="108"/>
        <v>5086.6666666666652</v>
      </c>
      <c r="AB85" s="416">
        <f t="shared" si="41"/>
        <v>2.258160804940046E-3</v>
      </c>
      <c r="AC85" s="407">
        <f t="shared" si="94"/>
        <v>423.88888888888874</v>
      </c>
      <c r="AD85" s="417">
        <f t="shared" si="42"/>
        <v>2.258160804940046E-3</v>
      </c>
      <c r="AE85" s="214"/>
      <c r="AF85" s="54"/>
      <c r="AH85" s="21">
        <f t="shared" si="97"/>
        <v>2157.5944444444444</v>
      </c>
    </row>
    <row r="86" spans="1:34" s="289" customFormat="1" ht="21.75" customHeight="1">
      <c r="A86" s="2">
        <v>6210</v>
      </c>
      <c r="B86" s="371" t="s">
        <v>30</v>
      </c>
      <c r="C86" s="418"/>
      <c r="D86" s="415">
        <f t="shared" si="98"/>
        <v>0</v>
      </c>
      <c r="E86" s="418"/>
      <c r="F86" s="415">
        <f t="shared" si="99"/>
        <v>0</v>
      </c>
      <c r="G86" s="418"/>
      <c r="H86" s="415">
        <f t="shared" si="100"/>
        <v>0</v>
      </c>
      <c r="I86" s="418"/>
      <c r="J86" s="415">
        <f t="shared" si="101"/>
        <v>0</v>
      </c>
      <c r="K86" s="418"/>
      <c r="L86" s="415">
        <f t="shared" si="102"/>
        <v>0</v>
      </c>
      <c r="M86" s="418"/>
      <c r="N86" s="415">
        <f t="shared" si="103"/>
        <v>0</v>
      </c>
      <c r="O86" s="418"/>
      <c r="P86" s="415">
        <f t="shared" si="104"/>
        <v>0</v>
      </c>
      <c r="Q86" s="418"/>
      <c r="R86" s="415">
        <f t="shared" si="105"/>
        <v>0</v>
      </c>
      <c r="S86" s="418"/>
      <c r="T86" s="415">
        <f t="shared" si="96"/>
        <v>0</v>
      </c>
      <c r="U86" s="418"/>
      <c r="V86" s="415">
        <f t="shared" si="106"/>
        <v>0</v>
      </c>
      <c r="W86" s="418"/>
      <c r="X86" s="415">
        <f t="shared" si="107"/>
        <v>0</v>
      </c>
      <c r="Y86" s="418"/>
      <c r="Z86" s="415">
        <f t="shared" si="96"/>
        <v>0</v>
      </c>
      <c r="AA86" s="405">
        <f t="shared" si="108"/>
        <v>0</v>
      </c>
      <c r="AB86" s="416">
        <f t="shared" si="41"/>
        <v>0</v>
      </c>
      <c r="AC86" s="407">
        <f t="shared" si="94"/>
        <v>0</v>
      </c>
      <c r="AD86" s="417">
        <f t="shared" si="42"/>
        <v>0</v>
      </c>
      <c r="AE86" s="214"/>
      <c r="AF86" s="54"/>
      <c r="AH86" s="21">
        <f t="shared" si="97"/>
        <v>0</v>
      </c>
    </row>
    <row r="87" spans="1:34" s="289" customFormat="1" ht="21.75" customHeight="1">
      <c r="A87" s="2">
        <v>6211</v>
      </c>
      <c r="B87" s="371" t="s">
        <v>31</v>
      </c>
      <c r="C87" s="418"/>
      <c r="D87" s="415">
        <f t="shared" si="98"/>
        <v>0</v>
      </c>
      <c r="E87" s="418"/>
      <c r="F87" s="415">
        <f t="shared" si="99"/>
        <v>0</v>
      </c>
      <c r="G87" s="418"/>
      <c r="H87" s="415">
        <f t="shared" si="100"/>
        <v>0</v>
      </c>
      <c r="I87" s="418"/>
      <c r="J87" s="415">
        <f t="shared" si="101"/>
        <v>0</v>
      </c>
      <c r="K87" s="418"/>
      <c r="L87" s="415">
        <f t="shared" si="102"/>
        <v>0</v>
      </c>
      <c r="M87" s="418"/>
      <c r="N87" s="415">
        <f t="shared" si="103"/>
        <v>0</v>
      </c>
      <c r="O87" s="418"/>
      <c r="P87" s="415">
        <f t="shared" si="104"/>
        <v>0</v>
      </c>
      <c r="Q87" s="418"/>
      <c r="R87" s="415">
        <f t="shared" si="105"/>
        <v>0</v>
      </c>
      <c r="S87" s="418"/>
      <c r="T87" s="415">
        <f t="shared" si="96"/>
        <v>0</v>
      </c>
      <c r="U87" s="418"/>
      <c r="V87" s="415">
        <f t="shared" si="106"/>
        <v>0</v>
      </c>
      <c r="W87" s="418"/>
      <c r="X87" s="415">
        <f t="shared" si="107"/>
        <v>0</v>
      </c>
      <c r="Y87" s="418"/>
      <c r="Z87" s="415">
        <f t="shared" si="96"/>
        <v>0</v>
      </c>
      <c r="AA87" s="405">
        <f t="shared" si="108"/>
        <v>0</v>
      </c>
      <c r="AB87" s="416">
        <f t="shared" si="41"/>
        <v>0</v>
      </c>
      <c r="AC87" s="407">
        <f t="shared" si="94"/>
        <v>0</v>
      </c>
      <c r="AD87" s="417">
        <f t="shared" si="42"/>
        <v>0</v>
      </c>
      <c r="AE87" s="214"/>
      <c r="AF87" s="54"/>
      <c r="AH87" s="21">
        <f t="shared" si="97"/>
        <v>0</v>
      </c>
    </row>
    <row r="88" spans="1:34" s="289" customFormat="1" ht="21.75" customHeight="1">
      <c r="A88" s="2">
        <v>6212</v>
      </c>
      <c r="B88" s="371" t="s">
        <v>32</v>
      </c>
      <c r="C88" s="55">
        <v>25</v>
      </c>
      <c r="D88" s="49">
        <f t="shared" si="98"/>
        <v>1.4756314226857672E-4</v>
      </c>
      <c r="E88" s="55">
        <v>25</v>
      </c>
      <c r="F88" s="49">
        <f t="shared" si="99"/>
        <v>1.896698227725176E-4</v>
      </c>
      <c r="G88" s="55">
        <v>25</v>
      </c>
      <c r="H88" s="49">
        <f t="shared" si="100"/>
        <v>1.1434270824165359E-4</v>
      </c>
      <c r="I88" s="55">
        <v>25</v>
      </c>
      <c r="J88" s="49">
        <f t="shared" si="101"/>
        <v>1.2949428170880295E-4</v>
      </c>
      <c r="K88" s="55">
        <v>25</v>
      </c>
      <c r="L88" s="49">
        <f t="shared" si="102"/>
        <v>1.4158541091204122E-4</v>
      </c>
      <c r="M88" s="55">
        <v>25</v>
      </c>
      <c r="N88" s="49">
        <f t="shared" si="103"/>
        <v>9.9849642702685518E-5</v>
      </c>
      <c r="O88" s="55">
        <v>25</v>
      </c>
      <c r="P88" s="49">
        <f t="shared" si="104"/>
        <v>1.5771281533919157E-4</v>
      </c>
      <c r="Q88" s="55">
        <v>25</v>
      </c>
      <c r="R88" s="49">
        <f t="shared" si="105"/>
        <v>1.2700962954947847E-4</v>
      </c>
      <c r="S88" s="55">
        <v>25</v>
      </c>
      <c r="T88" s="49">
        <f t="shared" si="96"/>
        <v>1.2607925594936432E-4</v>
      </c>
      <c r="U88" s="55">
        <v>25</v>
      </c>
      <c r="V88" s="49">
        <f t="shared" si="106"/>
        <v>1.5894883778383215E-4</v>
      </c>
      <c r="W88" s="55">
        <v>25</v>
      </c>
      <c r="X88" s="49">
        <f t="shared" si="107"/>
        <v>1.562240514106746E-4</v>
      </c>
      <c r="Y88" s="55">
        <v>25</v>
      </c>
      <c r="Z88" s="415">
        <f t="shared" si="96"/>
        <v>1.0341419730214044E-4</v>
      </c>
      <c r="AA88" s="405">
        <f t="shared" si="108"/>
        <v>300</v>
      </c>
      <c r="AB88" s="416">
        <f t="shared" si="41"/>
        <v>1.331811746032793E-4</v>
      </c>
      <c r="AC88" s="470">
        <f t="shared" si="94"/>
        <v>25</v>
      </c>
      <c r="AD88" s="417">
        <f t="shared" si="42"/>
        <v>1.331811746032793E-4</v>
      </c>
      <c r="AE88" s="214"/>
      <c r="AF88" s="54"/>
      <c r="AH88" s="21">
        <f t="shared" si="97"/>
        <v>127.25</v>
      </c>
    </row>
    <row r="89" spans="1:34" s="289" customFormat="1" ht="21.75" customHeight="1">
      <c r="A89" s="2">
        <v>6213</v>
      </c>
      <c r="B89" s="371" t="s">
        <v>33</v>
      </c>
      <c r="C89" s="402"/>
      <c r="D89" s="415">
        <f t="shared" si="98"/>
        <v>0</v>
      </c>
      <c r="E89" s="402"/>
      <c r="F89" s="415">
        <f t="shared" si="99"/>
        <v>0</v>
      </c>
      <c r="G89" s="402"/>
      <c r="H89" s="415">
        <f t="shared" si="100"/>
        <v>0</v>
      </c>
      <c r="I89" s="402"/>
      <c r="J89" s="415">
        <f t="shared" si="101"/>
        <v>0</v>
      </c>
      <c r="K89" s="402"/>
      <c r="L89" s="415">
        <f t="shared" si="102"/>
        <v>0</v>
      </c>
      <c r="M89" s="402"/>
      <c r="N89" s="415">
        <f t="shared" si="103"/>
        <v>0</v>
      </c>
      <c r="O89" s="402"/>
      <c r="P89" s="415">
        <f t="shared" si="104"/>
        <v>0</v>
      </c>
      <c r="Q89" s="402"/>
      <c r="R89" s="415">
        <f t="shared" si="105"/>
        <v>0</v>
      </c>
      <c r="S89" s="402"/>
      <c r="T89" s="415">
        <f t="shared" si="96"/>
        <v>0</v>
      </c>
      <c r="U89" s="402"/>
      <c r="V89" s="415">
        <f t="shared" si="106"/>
        <v>0</v>
      </c>
      <c r="W89" s="402"/>
      <c r="X89" s="415">
        <f t="shared" si="107"/>
        <v>0</v>
      </c>
      <c r="Y89" s="402"/>
      <c r="Z89" s="415">
        <f t="shared" si="96"/>
        <v>0</v>
      </c>
      <c r="AA89" s="405">
        <f t="shared" si="108"/>
        <v>0</v>
      </c>
      <c r="AB89" s="416">
        <f t="shared" si="41"/>
        <v>0</v>
      </c>
      <c r="AC89" s="407">
        <f t="shared" si="94"/>
        <v>0</v>
      </c>
      <c r="AD89" s="417">
        <f t="shared" si="42"/>
        <v>0</v>
      </c>
      <c r="AE89" s="214"/>
      <c r="AF89" s="54"/>
      <c r="AH89" s="21">
        <f t="shared" si="97"/>
        <v>0</v>
      </c>
    </row>
    <row r="90" spans="1:34" s="289" customFormat="1" ht="21.75" customHeight="1">
      <c r="A90" s="128">
        <v>6214</v>
      </c>
      <c r="B90" s="374" t="s">
        <v>34</v>
      </c>
      <c r="C90" s="402">
        <v>908.33333333333337</v>
      </c>
      <c r="D90" s="415">
        <f t="shared" si="98"/>
        <v>5.3614608357582883E-3</v>
      </c>
      <c r="E90" s="402">
        <v>908.33333333333337</v>
      </c>
      <c r="F90" s="415">
        <f t="shared" si="99"/>
        <v>6.8913368940681395E-3</v>
      </c>
      <c r="G90" s="402">
        <v>908.33333333333337</v>
      </c>
      <c r="H90" s="415">
        <f t="shared" si="100"/>
        <v>4.1544517327800805E-3</v>
      </c>
      <c r="I90" s="402">
        <v>908.33333333333337</v>
      </c>
      <c r="J90" s="415">
        <f t="shared" si="101"/>
        <v>4.7049589020865075E-3</v>
      </c>
      <c r="K90" s="402">
        <v>908.33333333333337</v>
      </c>
      <c r="L90" s="415">
        <f t="shared" si="102"/>
        <v>5.1442699298041641E-3</v>
      </c>
      <c r="M90" s="402">
        <v>908.33333333333337</v>
      </c>
      <c r="N90" s="415">
        <f t="shared" si="103"/>
        <v>3.6278703515309073E-3</v>
      </c>
      <c r="O90" s="402">
        <v>908.33333333333337</v>
      </c>
      <c r="P90" s="415">
        <f t="shared" si="104"/>
        <v>5.7302322906572943E-3</v>
      </c>
      <c r="Q90" s="402">
        <v>908.33333333333337</v>
      </c>
      <c r="R90" s="415">
        <f t="shared" si="105"/>
        <v>4.6146832069643845E-3</v>
      </c>
      <c r="S90" s="402">
        <v>908.33333333333337</v>
      </c>
      <c r="T90" s="415">
        <f t="shared" si="96"/>
        <v>4.5808796328269032E-3</v>
      </c>
      <c r="U90" s="402">
        <v>908.33333333333337</v>
      </c>
      <c r="V90" s="415">
        <f t="shared" si="106"/>
        <v>5.7751411061459012E-3</v>
      </c>
      <c r="W90" s="402">
        <v>908.33333333333337</v>
      </c>
      <c r="X90" s="415">
        <f t="shared" si="107"/>
        <v>5.6761405345878433E-3</v>
      </c>
      <c r="Y90" s="402">
        <v>908.33333333333337</v>
      </c>
      <c r="Z90" s="415">
        <f t="shared" si="96"/>
        <v>3.7573825019777693E-3</v>
      </c>
      <c r="AA90" s="405">
        <f t="shared" si="108"/>
        <v>10900</v>
      </c>
      <c r="AB90" s="416">
        <f t="shared" si="41"/>
        <v>4.8389160105858139E-3</v>
      </c>
      <c r="AC90" s="407">
        <f t="shared" si="94"/>
        <v>908.33333333333337</v>
      </c>
      <c r="AD90" s="417">
        <f t="shared" si="42"/>
        <v>4.8389160105858147E-3</v>
      </c>
      <c r="AE90" s="214"/>
      <c r="AF90" s="54"/>
      <c r="AH90" s="21">
        <f t="shared" si="97"/>
        <v>4623.416666666667</v>
      </c>
    </row>
    <row r="91" spans="1:34" s="289" customFormat="1" ht="21.75" customHeight="1">
      <c r="A91" s="2">
        <v>6215</v>
      </c>
      <c r="B91" s="374" t="s">
        <v>197</v>
      </c>
      <c r="C91" s="418">
        <v>1498.75</v>
      </c>
      <c r="D91" s="415">
        <f t="shared" si="98"/>
        <v>8.8464103790011749E-3</v>
      </c>
      <c r="E91" s="418">
        <v>1498.75</v>
      </c>
      <c r="F91" s="415">
        <f t="shared" si="99"/>
        <v>1.137070587521243E-2</v>
      </c>
      <c r="G91" s="418">
        <v>1498.75</v>
      </c>
      <c r="H91" s="415">
        <f t="shared" si="100"/>
        <v>6.8548453590871333E-3</v>
      </c>
      <c r="I91" s="418">
        <v>1498.75</v>
      </c>
      <c r="J91" s="415">
        <f t="shared" si="101"/>
        <v>7.7631821884427367E-3</v>
      </c>
      <c r="K91" s="418">
        <v>1498.75</v>
      </c>
      <c r="L91" s="415">
        <f t="shared" si="102"/>
        <v>8.4880453841768705E-3</v>
      </c>
      <c r="M91" s="418">
        <v>1498.75</v>
      </c>
      <c r="N91" s="415">
        <f t="shared" si="103"/>
        <v>5.9859860800259967E-3</v>
      </c>
      <c r="O91" s="418">
        <v>1498.75</v>
      </c>
      <c r="P91" s="415">
        <f t="shared" si="104"/>
        <v>9.4548832795845351E-3</v>
      </c>
      <c r="Q91" s="418">
        <v>1498.75</v>
      </c>
      <c r="R91" s="415">
        <f t="shared" si="105"/>
        <v>7.6142272914912334E-3</v>
      </c>
      <c r="S91" s="418">
        <v>1498.75</v>
      </c>
      <c r="T91" s="415">
        <f t="shared" ref="T91:T122" si="109">S91/S$12</f>
        <v>7.5584513941643902E-3</v>
      </c>
      <c r="U91" s="418">
        <v>1498.75</v>
      </c>
      <c r="V91" s="415">
        <f t="shared" si="106"/>
        <v>9.5289828251407371E-3</v>
      </c>
      <c r="W91" s="418">
        <v>1498.75</v>
      </c>
      <c r="X91" s="415">
        <f t="shared" si="107"/>
        <v>9.3656318820699424E-3</v>
      </c>
      <c r="Y91" s="418">
        <v>1498.75</v>
      </c>
      <c r="Z91" s="415">
        <f t="shared" ref="Z91:Z122" si="110">Y91/Y$12</f>
        <v>6.1996811282633195E-3</v>
      </c>
      <c r="AA91" s="405">
        <f t="shared" si="108"/>
        <v>17985</v>
      </c>
      <c r="AB91" s="416">
        <f t="shared" si="41"/>
        <v>7.984211417466594E-3</v>
      </c>
      <c r="AC91" s="407">
        <f t="shared" si="94"/>
        <v>1498.75</v>
      </c>
      <c r="AD91" s="417">
        <f t="shared" si="42"/>
        <v>7.984211417466594E-3</v>
      </c>
      <c r="AE91" s="214"/>
      <c r="AF91" s="54"/>
      <c r="AH91" s="21">
        <f t="shared" si="97"/>
        <v>7628.6374999999998</v>
      </c>
    </row>
    <row r="92" spans="1:34" s="289" customFormat="1" ht="21.75" customHeight="1">
      <c r="A92" s="2">
        <v>6216</v>
      </c>
      <c r="B92" s="374" t="s">
        <v>91</v>
      </c>
      <c r="C92" s="418">
        <v>0</v>
      </c>
      <c r="D92" s="415">
        <f t="shared" si="98"/>
        <v>0</v>
      </c>
      <c r="E92" s="418">
        <v>0</v>
      </c>
      <c r="F92" s="415">
        <f t="shared" si="99"/>
        <v>0</v>
      </c>
      <c r="G92" s="418">
        <v>0</v>
      </c>
      <c r="H92" s="415">
        <f t="shared" si="100"/>
        <v>0</v>
      </c>
      <c r="I92" s="418">
        <v>0</v>
      </c>
      <c r="J92" s="415">
        <f t="shared" si="101"/>
        <v>0</v>
      </c>
      <c r="K92" s="418">
        <v>0</v>
      </c>
      <c r="L92" s="415">
        <f t="shared" si="102"/>
        <v>0</v>
      </c>
      <c r="M92" s="418">
        <v>0</v>
      </c>
      <c r="N92" s="415">
        <f t="shared" si="103"/>
        <v>0</v>
      </c>
      <c r="O92" s="418">
        <v>0</v>
      </c>
      <c r="P92" s="415">
        <f t="shared" si="104"/>
        <v>0</v>
      </c>
      <c r="Q92" s="418">
        <v>0</v>
      </c>
      <c r="R92" s="415">
        <f t="shared" si="105"/>
        <v>0</v>
      </c>
      <c r="S92" s="418">
        <v>0</v>
      </c>
      <c r="T92" s="415">
        <f t="shared" si="109"/>
        <v>0</v>
      </c>
      <c r="U92" s="418">
        <v>0</v>
      </c>
      <c r="V92" s="415">
        <f t="shared" si="106"/>
        <v>0</v>
      </c>
      <c r="W92" s="418">
        <v>0</v>
      </c>
      <c r="X92" s="415">
        <f t="shared" si="107"/>
        <v>0</v>
      </c>
      <c r="Y92" s="418">
        <v>0</v>
      </c>
      <c r="Z92" s="415">
        <f t="shared" si="110"/>
        <v>0</v>
      </c>
      <c r="AA92" s="405">
        <f t="shared" si="108"/>
        <v>0</v>
      </c>
      <c r="AB92" s="416">
        <f t="shared" si="41"/>
        <v>0</v>
      </c>
      <c r="AC92" s="407">
        <f t="shared" si="94"/>
        <v>0</v>
      </c>
      <c r="AD92" s="417">
        <f t="shared" si="42"/>
        <v>0</v>
      </c>
      <c r="AE92" s="214"/>
      <c r="AF92" s="54"/>
      <c r="AH92" s="21">
        <f t="shared" si="97"/>
        <v>0</v>
      </c>
    </row>
    <row r="93" spans="1:34" s="289" customFormat="1" ht="21.75" customHeight="1" thickBot="1">
      <c r="A93" s="4">
        <v>6299</v>
      </c>
      <c r="B93" s="376" t="s">
        <v>114</v>
      </c>
      <c r="C93" s="444">
        <f>SUM(C77:C92)</f>
        <v>13931.055555555557</v>
      </c>
      <c r="D93" s="445">
        <f>C93/C12</f>
        <v>8.2228413315835636E-2</v>
      </c>
      <c r="E93" s="444">
        <f>SUM(E77:E92)</f>
        <v>13931.055555555557</v>
      </c>
      <c r="F93" s="445">
        <f>E93/E12</f>
        <v>0.10569203353025276</v>
      </c>
      <c r="G93" s="444">
        <f>SUM(G77:G92)</f>
        <v>13931.055555555557</v>
      </c>
      <c r="H93" s="445">
        <f>G93/G12</f>
        <v>6.3716584835486256E-2</v>
      </c>
      <c r="I93" s="444">
        <f>SUM(I77:I92)</f>
        <v>13931.055555555557</v>
      </c>
      <c r="J93" s="445">
        <f>I93/I12</f>
        <v>7.215968130448383E-2</v>
      </c>
      <c r="K93" s="446">
        <f>SUM(K77:K92)</f>
        <v>13931.055555555557</v>
      </c>
      <c r="L93" s="445">
        <f>K93/K12</f>
        <v>7.8897369010872326E-2</v>
      </c>
      <c r="M93" s="446">
        <f>SUM(M77:M92)</f>
        <v>13931.055555555557</v>
      </c>
      <c r="N93" s="445">
        <f>M93/M12</f>
        <v>5.5640436787739375E-2</v>
      </c>
      <c r="O93" s="446">
        <f>SUM(O77:O92)</f>
        <v>13931.055555555557</v>
      </c>
      <c r="P93" s="445">
        <f>O93/O12</f>
        <v>8.7884239692534089E-2</v>
      </c>
      <c r="Q93" s="444">
        <f>SUM(Q77:Q92)</f>
        <v>13931.055555555557</v>
      </c>
      <c r="R93" s="445">
        <f>Q93/Q12</f>
        <v>7.0775128213772603E-2</v>
      </c>
      <c r="S93" s="444">
        <f>SUM(S77:S92)</f>
        <v>13931.055555555557</v>
      </c>
      <c r="T93" s="445">
        <f t="shared" si="109"/>
        <v>7.0256684761348109E-2</v>
      </c>
      <c r="U93" s="444">
        <f>SUM(U77:U92)</f>
        <v>13931.055555555557</v>
      </c>
      <c r="V93" s="445">
        <f>U93/U12</f>
        <v>8.8573003586302143E-2</v>
      </c>
      <c r="W93" s="444">
        <f>SUM(W77:W92)</f>
        <v>13931.055555555557</v>
      </c>
      <c r="X93" s="445">
        <f>W93/W12</f>
        <v>8.7054637572643007E-2</v>
      </c>
      <c r="Y93" s="444">
        <f>SUM(Y77:Y92)</f>
        <v>13931.055555555557</v>
      </c>
      <c r="Z93" s="445">
        <f t="shared" si="110"/>
        <v>5.7626757113972082E-2</v>
      </c>
      <c r="AA93" s="422">
        <f>SUM(AA77:AA92)</f>
        <v>167172.66666666666</v>
      </c>
      <c r="AB93" s="423">
        <f t="shared" si="41"/>
        <v>7.4214173694097135E-2</v>
      </c>
      <c r="AC93" s="424">
        <f t="shared" si="94"/>
        <v>13931.055555555555</v>
      </c>
      <c r="AD93" s="425">
        <f t="shared" si="42"/>
        <v>7.4214173694097135E-2</v>
      </c>
      <c r="AE93" s="218"/>
      <c r="AF93" s="220"/>
      <c r="AG93" s="209"/>
      <c r="AH93" s="21">
        <f t="shared" si="97"/>
        <v>70909.072777777779</v>
      </c>
    </row>
    <row r="94" spans="1:34" s="289" customFormat="1" ht="21.75" customHeight="1" thickTop="1">
      <c r="A94" s="2">
        <v>6301</v>
      </c>
      <c r="B94" s="371" t="s">
        <v>36</v>
      </c>
      <c r="C94" s="280"/>
      <c r="D94" s="49">
        <f t="shared" ref="D94:D114" si="111">C94/C$12</f>
        <v>0</v>
      </c>
      <c r="E94" s="280"/>
      <c r="F94" s="49">
        <f t="shared" ref="F94:F114" si="112">E94/E$12</f>
        <v>0</v>
      </c>
      <c r="G94" s="280"/>
      <c r="H94" s="49">
        <f t="shared" ref="H94:H114" si="113">G94/G$12</f>
        <v>0</v>
      </c>
      <c r="I94" s="280"/>
      <c r="J94" s="49">
        <f t="shared" ref="J94:J114" si="114">I94/I$12</f>
        <v>0</v>
      </c>
      <c r="K94" s="280"/>
      <c r="L94" s="49">
        <f t="shared" ref="L94:L114" si="115">K94/K$12</f>
        <v>0</v>
      </c>
      <c r="M94" s="280"/>
      <c r="N94" s="49">
        <f t="shared" ref="N94:N114" si="116">M94/M$12</f>
        <v>0</v>
      </c>
      <c r="O94" s="280"/>
      <c r="P94" s="49">
        <f t="shared" ref="P94:P114" si="117">O94/O$12</f>
        <v>0</v>
      </c>
      <c r="Q94" s="280"/>
      <c r="R94" s="49">
        <f t="shared" ref="R94:R114" si="118">Q94/Q$12</f>
        <v>0</v>
      </c>
      <c r="S94" s="280"/>
      <c r="T94" s="49">
        <f t="shared" si="109"/>
        <v>0</v>
      </c>
      <c r="U94" s="280"/>
      <c r="V94" s="49">
        <f t="shared" ref="V94:V114" si="119">U94/U$12</f>
        <v>0</v>
      </c>
      <c r="W94" s="280"/>
      <c r="X94" s="49">
        <f t="shared" ref="X94:X114" si="120">W94/W$12</f>
        <v>0</v>
      </c>
      <c r="Y94" s="280"/>
      <c r="Z94" s="585">
        <f t="shared" si="110"/>
        <v>0</v>
      </c>
      <c r="AA94" s="586">
        <f t="shared" ref="AA94:AA114" si="121">C94+E94+G94+I94+K94+M94+O94+Q94+S94+U94+W94+Y94</f>
        <v>0</v>
      </c>
      <c r="AB94" s="587">
        <f>AA94/AA$12</f>
        <v>0</v>
      </c>
      <c r="AC94" s="588">
        <f t="shared" si="94"/>
        <v>0</v>
      </c>
      <c r="AD94" s="585">
        <f>AC94/AC$12</f>
        <v>0</v>
      </c>
      <c r="AE94" s="214"/>
      <c r="AF94" s="54"/>
      <c r="AH94" s="21">
        <f t="shared" si="97"/>
        <v>0</v>
      </c>
    </row>
    <row r="95" spans="1:34" s="289" customFormat="1" ht="21.75" customHeight="1">
      <c r="A95" s="2">
        <v>6302</v>
      </c>
      <c r="B95" s="371" t="s">
        <v>37</v>
      </c>
      <c r="C95" s="280"/>
      <c r="D95" s="49">
        <f t="shared" si="111"/>
        <v>0</v>
      </c>
      <c r="E95" s="280"/>
      <c r="F95" s="49">
        <f t="shared" si="112"/>
        <v>0</v>
      </c>
      <c r="G95" s="280"/>
      <c r="H95" s="49">
        <f t="shared" si="113"/>
        <v>0</v>
      </c>
      <c r="I95" s="280"/>
      <c r="J95" s="49">
        <f t="shared" si="114"/>
        <v>0</v>
      </c>
      <c r="K95" s="280"/>
      <c r="L95" s="49">
        <f t="shared" si="115"/>
        <v>0</v>
      </c>
      <c r="M95" s="280"/>
      <c r="N95" s="49">
        <f t="shared" si="116"/>
        <v>0</v>
      </c>
      <c r="O95" s="280"/>
      <c r="P95" s="49">
        <f t="shared" si="117"/>
        <v>0</v>
      </c>
      <c r="Q95" s="280"/>
      <c r="R95" s="49">
        <f t="shared" si="118"/>
        <v>0</v>
      </c>
      <c r="S95" s="280"/>
      <c r="T95" s="49">
        <f t="shared" si="109"/>
        <v>0</v>
      </c>
      <c r="U95" s="280"/>
      <c r="V95" s="49">
        <f t="shared" si="119"/>
        <v>0</v>
      </c>
      <c r="W95" s="280"/>
      <c r="X95" s="49">
        <f t="shared" si="120"/>
        <v>0</v>
      </c>
      <c r="Y95" s="280"/>
      <c r="Z95" s="585">
        <f t="shared" si="110"/>
        <v>0</v>
      </c>
      <c r="AA95" s="589">
        <f t="shared" si="121"/>
        <v>0</v>
      </c>
      <c r="AB95" s="585">
        <f t="shared" ref="AB95:AB99" si="122">AA95/AA$12</f>
        <v>0</v>
      </c>
      <c r="AC95" s="588">
        <f t="shared" si="94"/>
        <v>0</v>
      </c>
      <c r="AD95" s="585">
        <f t="shared" ref="AD95:AD99" si="123">AC95/AC$12</f>
        <v>0</v>
      </c>
      <c r="AE95" s="214"/>
      <c r="AF95" s="54"/>
      <c r="AH95" s="21">
        <f t="shared" si="97"/>
        <v>0</v>
      </c>
    </row>
    <row r="96" spans="1:34" s="289" customFormat="1" ht="21.75" customHeight="1">
      <c r="A96" s="2">
        <v>6303</v>
      </c>
      <c r="B96" s="371" t="s">
        <v>123</v>
      </c>
      <c r="C96" s="280"/>
      <c r="D96" s="49">
        <f t="shared" si="111"/>
        <v>0</v>
      </c>
      <c r="E96" s="280"/>
      <c r="F96" s="49">
        <f t="shared" si="112"/>
        <v>0</v>
      </c>
      <c r="G96" s="280"/>
      <c r="H96" s="49">
        <f t="shared" si="113"/>
        <v>0</v>
      </c>
      <c r="I96" s="280"/>
      <c r="J96" s="49">
        <f t="shared" si="114"/>
        <v>0</v>
      </c>
      <c r="K96" s="280"/>
      <c r="L96" s="49">
        <f t="shared" si="115"/>
        <v>0</v>
      </c>
      <c r="M96" s="280"/>
      <c r="N96" s="49">
        <f t="shared" si="116"/>
        <v>0</v>
      </c>
      <c r="O96" s="280"/>
      <c r="P96" s="49">
        <f t="shared" si="117"/>
        <v>0</v>
      </c>
      <c r="Q96" s="280"/>
      <c r="R96" s="49">
        <f t="shared" si="118"/>
        <v>0</v>
      </c>
      <c r="S96" s="280"/>
      <c r="T96" s="49">
        <f t="shared" si="109"/>
        <v>0</v>
      </c>
      <c r="U96" s="280"/>
      <c r="V96" s="49">
        <f t="shared" si="119"/>
        <v>0</v>
      </c>
      <c r="W96" s="280"/>
      <c r="X96" s="49">
        <f t="shared" si="120"/>
        <v>0</v>
      </c>
      <c r="Y96" s="280"/>
      <c r="Z96" s="585">
        <f t="shared" si="110"/>
        <v>0</v>
      </c>
      <c r="AA96" s="589">
        <f t="shared" si="121"/>
        <v>0</v>
      </c>
      <c r="AB96" s="585">
        <f t="shared" si="122"/>
        <v>0</v>
      </c>
      <c r="AC96" s="588">
        <f t="shared" si="94"/>
        <v>0</v>
      </c>
      <c r="AD96" s="585">
        <f t="shared" si="123"/>
        <v>0</v>
      </c>
      <c r="AE96" s="214"/>
      <c r="AF96" s="54"/>
      <c r="AH96" s="21">
        <f t="shared" si="97"/>
        <v>0</v>
      </c>
    </row>
    <row r="97" spans="1:34" s="289" customFormat="1" ht="21.75" customHeight="1">
      <c r="A97" s="2">
        <v>6304</v>
      </c>
      <c r="B97" s="371" t="s">
        <v>38</v>
      </c>
      <c r="C97" s="348"/>
      <c r="D97" s="49">
        <f t="shared" si="111"/>
        <v>0</v>
      </c>
      <c r="E97" s="348"/>
      <c r="F97" s="49">
        <f t="shared" si="112"/>
        <v>0</v>
      </c>
      <c r="G97" s="348"/>
      <c r="H97" s="49">
        <f t="shared" si="113"/>
        <v>0</v>
      </c>
      <c r="I97" s="348"/>
      <c r="J97" s="49">
        <f t="shared" si="114"/>
        <v>0</v>
      </c>
      <c r="K97" s="348"/>
      <c r="L97" s="49">
        <f t="shared" si="115"/>
        <v>0</v>
      </c>
      <c r="M97" s="348"/>
      <c r="N97" s="49">
        <f t="shared" si="116"/>
        <v>0</v>
      </c>
      <c r="O97" s="348"/>
      <c r="P97" s="49">
        <f t="shared" si="117"/>
        <v>0</v>
      </c>
      <c r="Q97" s="348"/>
      <c r="R97" s="49">
        <f t="shared" si="118"/>
        <v>0</v>
      </c>
      <c r="S97" s="348"/>
      <c r="T97" s="49">
        <f t="shared" si="109"/>
        <v>0</v>
      </c>
      <c r="U97" s="348"/>
      <c r="V97" s="49">
        <f t="shared" si="119"/>
        <v>0</v>
      </c>
      <c r="W97" s="348"/>
      <c r="X97" s="49">
        <f t="shared" si="120"/>
        <v>0</v>
      </c>
      <c r="Y97" s="348"/>
      <c r="Z97" s="585">
        <f t="shared" si="110"/>
        <v>0</v>
      </c>
      <c r="AA97" s="589">
        <f t="shared" si="121"/>
        <v>0</v>
      </c>
      <c r="AB97" s="585">
        <f t="shared" si="122"/>
        <v>0</v>
      </c>
      <c r="AC97" s="588">
        <f t="shared" si="94"/>
        <v>0</v>
      </c>
      <c r="AD97" s="585">
        <f t="shared" si="123"/>
        <v>0</v>
      </c>
      <c r="AE97" s="214"/>
      <c r="AF97" s="54"/>
      <c r="AH97" s="21">
        <f t="shared" si="97"/>
        <v>0</v>
      </c>
    </row>
    <row r="98" spans="1:34" s="289" customFormat="1" ht="21.75" customHeight="1">
      <c r="A98" s="2">
        <v>6305</v>
      </c>
      <c r="B98" s="371" t="s">
        <v>39</v>
      </c>
      <c r="C98" s="280"/>
      <c r="D98" s="49">
        <f t="shared" si="111"/>
        <v>0</v>
      </c>
      <c r="E98" s="280"/>
      <c r="F98" s="49">
        <f t="shared" si="112"/>
        <v>0</v>
      </c>
      <c r="G98" s="280"/>
      <c r="H98" s="49">
        <f t="shared" si="113"/>
        <v>0</v>
      </c>
      <c r="I98" s="280"/>
      <c r="J98" s="49">
        <f t="shared" si="114"/>
        <v>0</v>
      </c>
      <c r="K98" s="280"/>
      <c r="L98" s="49">
        <f t="shared" si="115"/>
        <v>0</v>
      </c>
      <c r="M98" s="280"/>
      <c r="N98" s="49">
        <f t="shared" si="116"/>
        <v>0</v>
      </c>
      <c r="O98" s="280"/>
      <c r="P98" s="49">
        <f t="shared" si="117"/>
        <v>0</v>
      </c>
      <c r="Q98" s="280"/>
      <c r="R98" s="49">
        <f t="shared" si="118"/>
        <v>0</v>
      </c>
      <c r="S98" s="280"/>
      <c r="T98" s="49">
        <f t="shared" si="109"/>
        <v>0</v>
      </c>
      <c r="U98" s="280"/>
      <c r="V98" s="49">
        <f t="shared" si="119"/>
        <v>0</v>
      </c>
      <c r="W98" s="280"/>
      <c r="X98" s="49">
        <f t="shared" si="120"/>
        <v>0</v>
      </c>
      <c r="Y98" s="280"/>
      <c r="Z98" s="585">
        <f t="shared" si="110"/>
        <v>0</v>
      </c>
      <c r="AA98" s="589">
        <f t="shared" si="121"/>
        <v>0</v>
      </c>
      <c r="AB98" s="585">
        <f t="shared" si="122"/>
        <v>0</v>
      </c>
      <c r="AC98" s="588">
        <f t="shared" si="94"/>
        <v>0</v>
      </c>
      <c r="AD98" s="585">
        <f t="shared" si="123"/>
        <v>0</v>
      </c>
      <c r="AE98" s="214"/>
      <c r="AF98" s="54"/>
      <c r="AH98" s="21">
        <f t="shared" si="97"/>
        <v>0</v>
      </c>
    </row>
    <row r="99" spans="1:34" s="289" customFormat="1" ht="21.75" customHeight="1">
      <c r="A99" s="2">
        <v>6306</v>
      </c>
      <c r="B99" s="371" t="s">
        <v>40</v>
      </c>
      <c r="C99" s="280"/>
      <c r="D99" s="49">
        <f t="shared" si="111"/>
        <v>0</v>
      </c>
      <c r="E99" s="280"/>
      <c r="F99" s="49">
        <f t="shared" si="112"/>
        <v>0</v>
      </c>
      <c r="G99" s="280"/>
      <c r="H99" s="49">
        <f t="shared" si="113"/>
        <v>0</v>
      </c>
      <c r="I99" s="280"/>
      <c r="J99" s="49">
        <f t="shared" si="114"/>
        <v>0</v>
      </c>
      <c r="K99" s="280"/>
      <c r="L99" s="49">
        <f t="shared" si="115"/>
        <v>0</v>
      </c>
      <c r="M99" s="280"/>
      <c r="N99" s="49">
        <f t="shared" si="116"/>
        <v>0</v>
      </c>
      <c r="O99" s="280"/>
      <c r="P99" s="49">
        <f t="shared" si="117"/>
        <v>0</v>
      </c>
      <c r="Q99" s="280"/>
      <c r="R99" s="49">
        <f t="shared" si="118"/>
        <v>0</v>
      </c>
      <c r="S99" s="280"/>
      <c r="T99" s="49">
        <f t="shared" si="109"/>
        <v>0</v>
      </c>
      <c r="U99" s="280"/>
      <c r="V99" s="49">
        <f t="shared" si="119"/>
        <v>0</v>
      </c>
      <c r="W99" s="280"/>
      <c r="X99" s="49">
        <f t="shared" si="120"/>
        <v>0</v>
      </c>
      <c r="Y99" s="280"/>
      <c r="Z99" s="585">
        <f t="shared" si="110"/>
        <v>0</v>
      </c>
      <c r="AA99" s="589">
        <f t="shared" si="121"/>
        <v>0</v>
      </c>
      <c r="AB99" s="585">
        <f t="shared" si="122"/>
        <v>0</v>
      </c>
      <c r="AC99" s="588">
        <f t="shared" si="94"/>
        <v>0</v>
      </c>
      <c r="AD99" s="585">
        <f t="shared" si="123"/>
        <v>0</v>
      </c>
      <c r="AE99" s="214"/>
      <c r="AF99" s="54"/>
      <c r="AH99" s="21">
        <f t="shared" si="97"/>
        <v>0</v>
      </c>
    </row>
    <row r="100" spans="1:34" s="289" customFormat="1" ht="21.75" customHeight="1">
      <c r="A100" s="2">
        <v>6307</v>
      </c>
      <c r="B100" s="371" t="s">
        <v>240</v>
      </c>
      <c r="C100" s="280"/>
      <c r="D100" s="49">
        <f t="shared" si="111"/>
        <v>0</v>
      </c>
      <c r="E100" s="280">
        <v>98.2</v>
      </c>
      <c r="F100" s="49">
        <f t="shared" si="112"/>
        <v>7.4502306385044916E-4</v>
      </c>
      <c r="G100" s="280">
        <v>98.2</v>
      </c>
      <c r="H100" s="49">
        <f t="shared" si="113"/>
        <v>4.4913815797321531E-4</v>
      </c>
      <c r="I100" s="280">
        <v>179.73</v>
      </c>
      <c r="J100" s="49">
        <f t="shared" si="114"/>
        <v>9.3096029006092612E-4</v>
      </c>
      <c r="K100" s="280">
        <v>98.2</v>
      </c>
      <c r="L100" s="49">
        <f t="shared" si="115"/>
        <v>5.5614749406249794E-4</v>
      </c>
      <c r="M100" s="280"/>
      <c r="N100" s="49">
        <f t="shared" si="116"/>
        <v>0</v>
      </c>
      <c r="O100" s="280">
        <v>98.2</v>
      </c>
      <c r="P100" s="49">
        <f t="shared" si="117"/>
        <v>6.1949593865234451E-4</v>
      </c>
      <c r="Q100" s="280">
        <v>98.2</v>
      </c>
      <c r="R100" s="49">
        <f t="shared" si="118"/>
        <v>4.9889382487035142E-4</v>
      </c>
      <c r="S100" s="280">
        <v>98.2</v>
      </c>
      <c r="T100" s="49">
        <f t="shared" si="109"/>
        <v>4.9523931736910308E-4</v>
      </c>
      <c r="U100" s="280">
        <v>98.2</v>
      </c>
      <c r="V100" s="49">
        <f t="shared" si="119"/>
        <v>6.2435103481489271E-4</v>
      </c>
      <c r="W100" s="280">
        <v>98.2</v>
      </c>
      <c r="X100" s="49">
        <f t="shared" si="120"/>
        <v>6.1364807394112975E-4</v>
      </c>
      <c r="Y100" s="280">
        <v>98.2</v>
      </c>
      <c r="Z100" s="585">
        <f t="shared" si="110"/>
        <v>4.0621096700280764E-4</v>
      </c>
      <c r="AA100" s="589">
        <f t="shared" si="121"/>
        <v>1063.5300000000002</v>
      </c>
      <c r="AB100" s="585">
        <f>AA100/AA$12</f>
        <v>4.7214058208608551E-4</v>
      </c>
      <c r="AC100" s="588">
        <f t="shared" si="94"/>
        <v>88.627500000000012</v>
      </c>
      <c r="AD100" s="585">
        <f>AC100/AC$12</f>
        <v>4.7214058208608546E-4</v>
      </c>
      <c r="AE100" s="214"/>
      <c r="AF100" s="54"/>
      <c r="AH100" s="21"/>
    </row>
    <row r="101" spans="1:34" s="289" customFormat="1" ht="21.75" customHeight="1">
      <c r="A101" s="2">
        <v>6308</v>
      </c>
      <c r="B101" s="371" t="s">
        <v>142</v>
      </c>
      <c r="C101" s="280"/>
      <c r="D101" s="49">
        <f t="shared" si="111"/>
        <v>0</v>
      </c>
      <c r="E101" s="280"/>
      <c r="F101" s="49">
        <f t="shared" si="112"/>
        <v>0</v>
      </c>
      <c r="G101" s="280"/>
      <c r="H101" s="49">
        <f t="shared" si="113"/>
        <v>0</v>
      </c>
      <c r="I101" s="280"/>
      <c r="J101" s="49">
        <f t="shared" si="114"/>
        <v>0</v>
      </c>
      <c r="K101" s="280"/>
      <c r="L101" s="49">
        <f t="shared" si="115"/>
        <v>0</v>
      </c>
      <c r="M101" s="280"/>
      <c r="N101" s="49">
        <f t="shared" si="116"/>
        <v>0</v>
      </c>
      <c r="O101" s="280"/>
      <c r="P101" s="49">
        <f t="shared" si="117"/>
        <v>0</v>
      </c>
      <c r="Q101" s="280"/>
      <c r="R101" s="49">
        <f t="shared" si="118"/>
        <v>0</v>
      </c>
      <c r="S101" s="280"/>
      <c r="T101" s="49">
        <f t="shared" si="109"/>
        <v>0</v>
      </c>
      <c r="U101" s="280"/>
      <c r="V101" s="49">
        <f t="shared" si="119"/>
        <v>0</v>
      </c>
      <c r="W101" s="280"/>
      <c r="X101" s="49">
        <f t="shared" si="120"/>
        <v>0</v>
      </c>
      <c r="Y101" s="280"/>
      <c r="Z101" s="585">
        <f t="shared" si="110"/>
        <v>0</v>
      </c>
      <c r="AA101" s="589">
        <f t="shared" si="121"/>
        <v>0</v>
      </c>
      <c r="AB101" s="585">
        <f>AA101/AA$12</f>
        <v>0</v>
      </c>
      <c r="AC101" s="588">
        <f t="shared" si="94"/>
        <v>0</v>
      </c>
      <c r="AD101" s="585">
        <f>AC101/AC$12</f>
        <v>0</v>
      </c>
      <c r="AE101" s="214"/>
      <c r="AF101" s="54"/>
      <c r="AH101" s="21">
        <f t="shared" si="97"/>
        <v>0</v>
      </c>
    </row>
    <row r="102" spans="1:34" s="289" customFormat="1" ht="21.75" customHeight="1">
      <c r="A102" s="2">
        <v>6309</v>
      </c>
      <c r="B102" s="371" t="s">
        <v>143</v>
      </c>
      <c r="C102" s="280">
        <v>188.80162794900002</v>
      </c>
      <c r="D102" s="49">
        <f t="shared" si="111"/>
        <v>1.1144064594230873E-3</v>
      </c>
      <c r="E102" s="280">
        <v>190.68964422849001</v>
      </c>
      <c r="F102" s="49">
        <f t="shared" si="112"/>
        <v>1.4467228410148854E-3</v>
      </c>
      <c r="G102" s="280">
        <v>96.298270335387471</v>
      </c>
      <c r="H102" s="49">
        <f t="shared" si="113"/>
        <v>4.4044020116540378E-4</v>
      </c>
      <c r="I102" s="280">
        <v>101.14421753692018</v>
      </c>
      <c r="J102" s="49">
        <f t="shared" si="114"/>
        <v>5.239039119576956E-4</v>
      </c>
      <c r="K102" s="280">
        <v>210.68779250325755</v>
      </c>
      <c r="L102" s="49">
        <f t="shared" si="115"/>
        <v>1.1932127070289839E-3</v>
      </c>
      <c r="M102" s="280">
        <v>107.80952783832413</v>
      </c>
      <c r="N102" s="49">
        <f t="shared" si="116"/>
        <v>4.3058971338407571E-4</v>
      </c>
      <c r="O102" s="280">
        <v>115.58607867317811</v>
      </c>
      <c r="P102" s="49">
        <f t="shared" si="117"/>
        <v>7.2917623526256832E-4</v>
      </c>
      <c r="Q102" s="280">
        <v>120.37017179511379</v>
      </c>
      <c r="R102" s="49">
        <f t="shared" si="118"/>
        <v>6.1152683714017937E-4</v>
      </c>
      <c r="S102" s="280">
        <v>252.1044310417092</v>
      </c>
      <c r="T102" s="49">
        <f t="shared" si="109"/>
        <v>1.2714055634910609E-3</v>
      </c>
      <c r="U102" s="280">
        <v>260.56777545001984</v>
      </c>
      <c r="V102" s="49">
        <f t="shared" si="119"/>
        <v>1.6566778028679681E-3</v>
      </c>
      <c r="W102" s="280">
        <v>136.84006821430589</v>
      </c>
      <c r="X102" s="49">
        <f t="shared" si="120"/>
        <v>8.5510839407007761E-4</v>
      </c>
      <c r="Y102" s="280">
        <v>143.72617056392389</v>
      </c>
      <c r="Z102" s="585">
        <f t="shared" si="110"/>
        <v>5.9453306240714852E-4</v>
      </c>
      <c r="AA102" s="589">
        <f t="shared" si="121"/>
        <v>1924.6257761296299</v>
      </c>
      <c r="AB102" s="585">
        <f>AA102/AA$12</f>
        <v>8.544130717889739E-4</v>
      </c>
      <c r="AC102" s="588">
        <f t="shared" si="94"/>
        <v>160.38548134413583</v>
      </c>
      <c r="AD102" s="585">
        <f>AC102/AC$12</f>
        <v>8.544130717889739E-4</v>
      </c>
      <c r="AE102" s="214"/>
      <c r="AF102" s="54"/>
      <c r="AH102" s="21">
        <f t="shared" si="97"/>
        <v>612.68417443712917</v>
      </c>
    </row>
    <row r="103" spans="1:34" s="289" customFormat="1" ht="21.75" customHeight="1">
      <c r="A103" s="2">
        <v>6310</v>
      </c>
      <c r="B103" s="371" t="s">
        <v>144</v>
      </c>
      <c r="C103" s="280"/>
      <c r="D103" s="49">
        <f t="shared" si="111"/>
        <v>0</v>
      </c>
      <c r="E103" s="280"/>
      <c r="F103" s="49">
        <f t="shared" si="112"/>
        <v>0</v>
      </c>
      <c r="G103" s="280"/>
      <c r="H103" s="49">
        <f t="shared" si="113"/>
        <v>0</v>
      </c>
      <c r="I103" s="280"/>
      <c r="J103" s="49">
        <f t="shared" si="114"/>
        <v>0</v>
      </c>
      <c r="K103" s="280"/>
      <c r="L103" s="49">
        <f t="shared" si="115"/>
        <v>0</v>
      </c>
      <c r="M103" s="280"/>
      <c r="N103" s="49">
        <f t="shared" si="116"/>
        <v>0</v>
      </c>
      <c r="O103" s="280"/>
      <c r="P103" s="49">
        <f t="shared" si="117"/>
        <v>0</v>
      </c>
      <c r="Q103" s="280"/>
      <c r="R103" s="49">
        <f t="shared" si="118"/>
        <v>0</v>
      </c>
      <c r="S103" s="280"/>
      <c r="T103" s="49">
        <f t="shared" si="109"/>
        <v>0</v>
      </c>
      <c r="U103" s="280"/>
      <c r="V103" s="49">
        <f t="shared" si="119"/>
        <v>0</v>
      </c>
      <c r="W103" s="280"/>
      <c r="X103" s="49">
        <f t="shared" si="120"/>
        <v>0</v>
      </c>
      <c r="Y103" s="280"/>
      <c r="Z103" s="585">
        <f t="shared" si="110"/>
        <v>0</v>
      </c>
      <c r="AA103" s="589">
        <f t="shared" si="121"/>
        <v>0</v>
      </c>
      <c r="AB103" s="585">
        <f t="shared" ref="AB103:AB114" si="124">AA103/AA$12</f>
        <v>0</v>
      </c>
      <c r="AC103" s="588">
        <f t="shared" si="94"/>
        <v>0</v>
      </c>
      <c r="AD103" s="585">
        <f t="shared" ref="AD103:AD114" si="125">AC103/AC$12</f>
        <v>0</v>
      </c>
      <c r="AE103" s="214"/>
      <c r="AF103" s="54"/>
      <c r="AH103" s="21">
        <f t="shared" si="97"/>
        <v>0</v>
      </c>
    </row>
    <row r="104" spans="1:34" s="289" customFormat="1" ht="21.75" customHeight="1">
      <c r="A104" s="2">
        <v>6311</v>
      </c>
      <c r="B104" s="371" t="s">
        <v>145</v>
      </c>
      <c r="C104" s="280">
        <v>1178.7819253438113</v>
      </c>
      <c r="D104" s="49">
        <f t="shared" si="111"/>
        <v>6.9577905981254243E-3</v>
      </c>
      <c r="E104" s="280"/>
      <c r="F104" s="49">
        <f t="shared" si="112"/>
        <v>0</v>
      </c>
      <c r="G104" s="280"/>
      <c r="H104" s="49">
        <f t="shared" si="113"/>
        <v>0</v>
      </c>
      <c r="I104" s="280"/>
      <c r="J104" s="49">
        <f t="shared" si="114"/>
        <v>0</v>
      </c>
      <c r="K104" s="280"/>
      <c r="L104" s="49">
        <f t="shared" si="115"/>
        <v>0</v>
      </c>
      <c r="M104" s="280"/>
      <c r="N104" s="49">
        <f t="shared" si="116"/>
        <v>0</v>
      </c>
      <c r="O104" s="280"/>
      <c r="P104" s="49">
        <f t="shared" si="117"/>
        <v>0</v>
      </c>
      <c r="Q104" s="280"/>
      <c r="R104" s="49">
        <f t="shared" si="118"/>
        <v>0</v>
      </c>
      <c r="S104" s="280"/>
      <c r="T104" s="49">
        <f t="shared" si="109"/>
        <v>0</v>
      </c>
      <c r="U104" s="280"/>
      <c r="V104" s="49">
        <f t="shared" si="119"/>
        <v>0</v>
      </c>
      <c r="W104" s="280"/>
      <c r="X104" s="49">
        <f t="shared" si="120"/>
        <v>0</v>
      </c>
      <c r="Y104" s="280"/>
      <c r="Z104" s="585">
        <f t="shared" si="110"/>
        <v>0</v>
      </c>
      <c r="AA104" s="589">
        <f t="shared" si="121"/>
        <v>1178.7819253438113</v>
      </c>
      <c r="AB104" s="585">
        <f t="shared" si="124"/>
        <v>5.2330520472801292E-4</v>
      </c>
      <c r="AC104" s="588">
        <f t="shared" si="94"/>
        <v>98.231827111984273</v>
      </c>
      <c r="AD104" s="585">
        <f t="shared" si="125"/>
        <v>5.2330520472801292E-4</v>
      </c>
      <c r="AE104" s="214"/>
      <c r="AF104" s="54"/>
      <c r="AH104" s="21">
        <f t="shared" si="97"/>
        <v>0</v>
      </c>
    </row>
    <row r="105" spans="1:34" s="289" customFormat="1" ht="21.75" customHeight="1">
      <c r="A105" s="2">
        <v>6312</v>
      </c>
      <c r="B105" s="371" t="s">
        <v>146</v>
      </c>
      <c r="C105" s="280"/>
      <c r="D105" s="49">
        <f t="shared" si="111"/>
        <v>0</v>
      </c>
      <c r="E105" s="280"/>
      <c r="F105" s="49">
        <f t="shared" si="112"/>
        <v>0</v>
      </c>
      <c r="G105" s="280"/>
      <c r="H105" s="49">
        <f t="shared" si="113"/>
        <v>0</v>
      </c>
      <c r="I105" s="280"/>
      <c r="J105" s="49">
        <f t="shared" si="114"/>
        <v>0</v>
      </c>
      <c r="K105" s="280"/>
      <c r="L105" s="49">
        <f t="shared" si="115"/>
        <v>0</v>
      </c>
      <c r="M105" s="280"/>
      <c r="N105" s="49">
        <f t="shared" si="116"/>
        <v>0</v>
      </c>
      <c r="O105" s="280"/>
      <c r="P105" s="49">
        <f t="shared" si="117"/>
        <v>0</v>
      </c>
      <c r="Q105" s="280"/>
      <c r="R105" s="49">
        <f t="shared" si="118"/>
        <v>0</v>
      </c>
      <c r="S105" s="280"/>
      <c r="T105" s="49">
        <f t="shared" si="109"/>
        <v>0</v>
      </c>
      <c r="U105" s="280"/>
      <c r="V105" s="49">
        <f t="shared" si="119"/>
        <v>0</v>
      </c>
      <c r="W105" s="280"/>
      <c r="X105" s="49">
        <f t="shared" si="120"/>
        <v>0</v>
      </c>
      <c r="Y105" s="280"/>
      <c r="Z105" s="585">
        <f t="shared" si="110"/>
        <v>0</v>
      </c>
      <c r="AA105" s="589">
        <f t="shared" si="121"/>
        <v>0</v>
      </c>
      <c r="AB105" s="585">
        <f t="shared" si="124"/>
        <v>0</v>
      </c>
      <c r="AC105" s="588">
        <f t="shared" si="94"/>
        <v>0</v>
      </c>
      <c r="AD105" s="585">
        <f t="shared" si="125"/>
        <v>0</v>
      </c>
      <c r="AE105" s="214"/>
      <c r="AF105" s="54"/>
      <c r="AH105" s="21">
        <f t="shared" si="97"/>
        <v>0</v>
      </c>
    </row>
    <row r="106" spans="1:34" s="289" customFormat="1" ht="21.75" customHeight="1">
      <c r="A106" s="2">
        <v>6313</v>
      </c>
      <c r="B106" s="371" t="s">
        <v>147</v>
      </c>
      <c r="C106" s="280"/>
      <c r="D106" s="49">
        <f t="shared" si="111"/>
        <v>0</v>
      </c>
      <c r="E106" s="280"/>
      <c r="F106" s="49">
        <f t="shared" si="112"/>
        <v>0</v>
      </c>
      <c r="G106" s="280">
        <v>334.88122879085552</v>
      </c>
      <c r="H106" s="49">
        <f t="shared" si="113"/>
        <v>1.5316490655695695E-3</v>
      </c>
      <c r="I106" s="280"/>
      <c r="J106" s="49">
        <f t="shared" si="114"/>
        <v>0</v>
      </c>
      <c r="K106" s="280">
        <v>334.88122879085552</v>
      </c>
      <c r="L106" s="49">
        <f t="shared" si="115"/>
        <v>1.8965718554033028E-3</v>
      </c>
      <c r="M106" s="280"/>
      <c r="N106" s="49">
        <f t="shared" si="116"/>
        <v>0</v>
      </c>
      <c r="O106" s="280"/>
      <c r="P106" s="49">
        <f t="shared" si="117"/>
        <v>0</v>
      </c>
      <c r="Q106" s="280">
        <v>334.88122879085552</v>
      </c>
      <c r="R106" s="49">
        <f t="shared" si="118"/>
        <v>1.7013256324720279E-3</v>
      </c>
      <c r="S106" s="280"/>
      <c r="T106" s="49">
        <f t="shared" si="109"/>
        <v>0</v>
      </c>
      <c r="U106" s="280"/>
      <c r="V106" s="49">
        <f t="shared" si="119"/>
        <v>0</v>
      </c>
      <c r="W106" s="280"/>
      <c r="X106" s="49">
        <f t="shared" si="120"/>
        <v>0</v>
      </c>
      <c r="Y106" s="280">
        <v>334.88122879085552</v>
      </c>
      <c r="Z106" s="585">
        <f t="shared" si="110"/>
        <v>1.3852589386784307E-3</v>
      </c>
      <c r="AA106" s="589">
        <f t="shared" si="121"/>
        <v>1339.5249151634221</v>
      </c>
      <c r="AB106" s="585">
        <f t="shared" si="124"/>
        <v>5.9466500537274194E-4</v>
      </c>
      <c r="AC106" s="588">
        <f t="shared" si="94"/>
        <v>111.62707626361851</v>
      </c>
      <c r="AD106" s="585">
        <f t="shared" si="125"/>
        <v>5.9466500537274194E-4</v>
      </c>
      <c r="AE106" s="214"/>
      <c r="AF106" s="54"/>
      <c r="AH106" s="21">
        <f t="shared" si="97"/>
        <v>1704.5454545454545</v>
      </c>
    </row>
    <row r="107" spans="1:34" s="289" customFormat="1" ht="21.75" customHeight="1">
      <c r="A107" s="2">
        <v>6314</v>
      </c>
      <c r="B107" s="371" t="s">
        <v>211</v>
      </c>
      <c r="C107" s="280">
        <v>387.51</v>
      </c>
      <c r="D107" s="49">
        <f t="shared" si="111"/>
        <v>2.2872877304198464E-3</v>
      </c>
      <c r="E107" s="280">
        <v>75</v>
      </c>
      <c r="F107" s="49">
        <f t="shared" si="112"/>
        <v>5.690094683175528E-4</v>
      </c>
      <c r="G107" s="280">
        <v>387.51</v>
      </c>
      <c r="H107" s="49">
        <f t="shared" si="113"/>
        <v>1.7723577148289274E-3</v>
      </c>
      <c r="I107" s="280"/>
      <c r="J107" s="49">
        <f t="shared" si="114"/>
        <v>0</v>
      </c>
      <c r="K107" s="280">
        <v>462.51</v>
      </c>
      <c r="L107" s="49">
        <f t="shared" si="115"/>
        <v>2.6193867360371271E-3</v>
      </c>
      <c r="M107" s="280">
        <v>387.51</v>
      </c>
      <c r="N107" s="49">
        <f t="shared" si="116"/>
        <v>1.5477094017487065E-3</v>
      </c>
      <c r="O107" s="280">
        <v>387.51</v>
      </c>
      <c r="P107" s="49">
        <f t="shared" si="117"/>
        <v>2.4446117228836047E-3</v>
      </c>
      <c r="Q107" s="280"/>
      <c r="R107" s="49">
        <f t="shared" si="118"/>
        <v>0</v>
      </c>
      <c r="S107" s="280">
        <v>462.51</v>
      </c>
      <c r="T107" s="49">
        <f t="shared" si="109"/>
        <v>2.3325166667656195E-3</v>
      </c>
      <c r="U107" s="280">
        <v>75</v>
      </c>
      <c r="V107" s="49">
        <f t="shared" si="119"/>
        <v>4.7684651335149641E-4</v>
      </c>
      <c r="W107" s="280">
        <v>462.51</v>
      </c>
      <c r="X107" s="49">
        <f t="shared" si="120"/>
        <v>2.8902074407180442E-3</v>
      </c>
      <c r="Y107" s="280"/>
      <c r="Z107" s="585">
        <f t="shared" si="110"/>
        <v>0</v>
      </c>
      <c r="AA107" s="589">
        <f t="shared" si="121"/>
        <v>3087.5700000000006</v>
      </c>
      <c r="AB107" s="585">
        <f t="shared" si="124"/>
        <v>1.3706873308994905E-3</v>
      </c>
      <c r="AC107" s="588">
        <f t="shared" si="94"/>
        <v>257.29750000000007</v>
      </c>
      <c r="AD107" s="585">
        <f t="shared" si="125"/>
        <v>1.3706873308994905E-3</v>
      </c>
      <c r="AE107" s="214"/>
      <c r="AF107" s="54"/>
      <c r="AH107" s="21">
        <f t="shared" si="97"/>
        <v>0</v>
      </c>
    </row>
    <row r="108" spans="1:34" s="289" customFormat="1" ht="21.75" customHeight="1">
      <c r="A108" s="2">
        <v>6315</v>
      </c>
      <c r="B108" s="371" t="s">
        <v>241</v>
      </c>
      <c r="C108" s="280"/>
      <c r="D108" s="49">
        <f t="shared" si="111"/>
        <v>0</v>
      </c>
      <c r="E108" s="280">
        <v>645.75</v>
      </c>
      <c r="F108" s="49">
        <f t="shared" si="112"/>
        <v>4.8991715222141295E-3</v>
      </c>
      <c r="G108" s="280">
        <v>795.75</v>
      </c>
      <c r="H108" s="49">
        <f t="shared" si="113"/>
        <v>3.639528403331834E-3</v>
      </c>
      <c r="I108" s="280">
        <v>645.75</v>
      </c>
      <c r="J108" s="49">
        <f t="shared" si="114"/>
        <v>3.3448372965383805E-3</v>
      </c>
      <c r="K108" s="280">
        <v>150</v>
      </c>
      <c r="L108" s="49">
        <f t="shared" si="115"/>
        <v>8.495124654722473E-4</v>
      </c>
      <c r="M108" s="280"/>
      <c r="N108" s="49">
        <f t="shared" si="116"/>
        <v>0</v>
      </c>
      <c r="O108" s="280">
        <v>100</v>
      </c>
      <c r="P108" s="49">
        <f t="shared" si="117"/>
        <v>6.3085126135676629E-4</v>
      </c>
      <c r="Q108" s="280">
        <v>150</v>
      </c>
      <c r="R108" s="49">
        <f t="shared" si="118"/>
        <v>7.6205777729687076E-4</v>
      </c>
      <c r="S108" s="280"/>
      <c r="T108" s="49">
        <f t="shared" si="109"/>
        <v>0</v>
      </c>
      <c r="U108" s="280">
        <v>100</v>
      </c>
      <c r="V108" s="49">
        <f t="shared" si="119"/>
        <v>6.3579535113532858E-4</v>
      </c>
      <c r="W108" s="280"/>
      <c r="X108" s="49">
        <f t="shared" si="120"/>
        <v>0</v>
      </c>
      <c r="Y108" s="280">
        <v>150</v>
      </c>
      <c r="Z108" s="585">
        <f t="shared" si="110"/>
        <v>6.204851838128426E-4</v>
      </c>
      <c r="AA108" s="589">
        <f t="shared" si="121"/>
        <v>2737.25</v>
      </c>
      <c r="AB108" s="585">
        <f t="shared" si="124"/>
        <v>1.2151672339427541E-3</v>
      </c>
      <c r="AC108" s="588">
        <f t="shared" si="94"/>
        <v>228.10416666666666</v>
      </c>
      <c r="AD108" s="585">
        <f t="shared" si="125"/>
        <v>1.2151672339427541E-3</v>
      </c>
      <c r="AE108" s="214"/>
      <c r="AF108" s="54"/>
      <c r="AH108" s="21"/>
    </row>
    <row r="109" spans="1:34" s="289" customFormat="1" ht="21.75" customHeight="1">
      <c r="A109" s="2">
        <v>6316</v>
      </c>
      <c r="B109" s="371" t="s">
        <v>242</v>
      </c>
      <c r="C109" s="280"/>
      <c r="D109" s="49">
        <f t="shared" si="111"/>
        <v>0</v>
      </c>
      <c r="E109" s="280">
        <v>1284.95</v>
      </c>
      <c r="F109" s="49">
        <f t="shared" si="112"/>
        <v>9.7486495508618595E-3</v>
      </c>
      <c r="G109" s="280"/>
      <c r="H109" s="49">
        <f t="shared" si="113"/>
        <v>0</v>
      </c>
      <c r="I109" s="280"/>
      <c r="J109" s="49">
        <f t="shared" si="114"/>
        <v>0</v>
      </c>
      <c r="K109" s="280">
        <v>1284.95</v>
      </c>
      <c r="L109" s="49">
        <f t="shared" si="115"/>
        <v>7.2772069500570951E-3</v>
      </c>
      <c r="M109" s="280">
        <f>(9416.5/5.09)/3</f>
        <v>616.66666666666663</v>
      </c>
      <c r="N109" s="49">
        <f t="shared" si="116"/>
        <v>2.4629578533329091E-3</v>
      </c>
      <c r="O109" s="280"/>
      <c r="P109" s="49">
        <f t="shared" si="117"/>
        <v>0</v>
      </c>
      <c r="Q109" s="280">
        <v>1284.95</v>
      </c>
      <c r="R109" s="49">
        <f t="shared" si="118"/>
        <v>6.5280409395840943E-3</v>
      </c>
      <c r="S109" s="280">
        <f>(9416.5/5.09)/3</f>
        <v>616.66666666666663</v>
      </c>
      <c r="T109" s="49">
        <f t="shared" si="109"/>
        <v>3.1099549800843195E-3</v>
      </c>
      <c r="U109" s="280">
        <v>854.11</v>
      </c>
      <c r="V109" s="49">
        <f t="shared" si="119"/>
        <v>5.4303916735819547E-3</v>
      </c>
      <c r="W109" s="280"/>
      <c r="X109" s="49">
        <f t="shared" si="120"/>
        <v>0</v>
      </c>
      <c r="Y109" s="280"/>
      <c r="Z109" s="585">
        <f t="shared" si="110"/>
        <v>0</v>
      </c>
      <c r="AA109" s="589">
        <f t="shared" si="121"/>
        <v>5942.2933333333331</v>
      </c>
      <c r="AB109" s="585">
        <f t="shared" si="124"/>
        <v>2.6380053532352307E-3</v>
      </c>
      <c r="AC109" s="588">
        <f t="shared" si="94"/>
        <v>495.19111111111107</v>
      </c>
      <c r="AD109" s="585">
        <f t="shared" si="125"/>
        <v>2.6380053532352303E-3</v>
      </c>
      <c r="AE109" s="214"/>
      <c r="AF109" s="54"/>
      <c r="AH109" s="21"/>
    </row>
    <row r="110" spans="1:34" s="289" customFormat="1" ht="21.75" customHeight="1">
      <c r="A110" s="2">
        <v>6317</v>
      </c>
      <c r="B110" s="371" t="s">
        <v>243</v>
      </c>
      <c r="C110" s="280"/>
      <c r="D110" s="49">
        <f t="shared" si="111"/>
        <v>0</v>
      </c>
      <c r="E110" s="280">
        <v>812.5</v>
      </c>
      <c r="F110" s="49">
        <f t="shared" si="112"/>
        <v>6.1642692401068224E-3</v>
      </c>
      <c r="G110" s="280"/>
      <c r="H110" s="49">
        <f t="shared" si="113"/>
        <v>0</v>
      </c>
      <c r="I110" s="280">
        <v>3940.5</v>
      </c>
      <c r="J110" s="49">
        <f t="shared" si="114"/>
        <v>2.0410888682941521E-2</v>
      </c>
      <c r="K110" s="280">
        <v>950.5</v>
      </c>
      <c r="L110" s="49">
        <f t="shared" si="115"/>
        <v>5.3830773228758068E-3</v>
      </c>
      <c r="M110" s="280"/>
      <c r="N110" s="49">
        <f t="shared" si="116"/>
        <v>0</v>
      </c>
      <c r="O110" s="280"/>
      <c r="P110" s="49">
        <f t="shared" si="117"/>
        <v>0</v>
      </c>
      <c r="Q110" s="280">
        <v>2739</v>
      </c>
      <c r="R110" s="49">
        <f t="shared" si="118"/>
        <v>1.391517501344086E-2</v>
      </c>
      <c r="S110" s="280"/>
      <c r="T110" s="49">
        <f t="shared" si="109"/>
        <v>0</v>
      </c>
      <c r="U110" s="280">
        <v>812.5</v>
      </c>
      <c r="V110" s="49">
        <f t="shared" si="119"/>
        <v>5.1658372279745441E-3</v>
      </c>
      <c r="W110" s="280"/>
      <c r="X110" s="49">
        <f t="shared" si="120"/>
        <v>0</v>
      </c>
      <c r="Y110" s="280"/>
      <c r="Z110" s="585">
        <f t="shared" si="110"/>
        <v>0</v>
      </c>
      <c r="AA110" s="589">
        <f t="shared" si="121"/>
        <v>9255</v>
      </c>
      <c r="AB110" s="585">
        <f t="shared" si="124"/>
        <v>4.1086392365111664E-3</v>
      </c>
      <c r="AC110" s="588">
        <f t="shared" si="94"/>
        <v>771.25</v>
      </c>
      <c r="AD110" s="585">
        <f t="shared" si="125"/>
        <v>4.1086392365111664E-3</v>
      </c>
      <c r="AE110" s="214"/>
      <c r="AF110" s="54"/>
      <c r="AH110" s="21"/>
    </row>
    <row r="111" spans="1:34" s="289" customFormat="1" ht="21.75" customHeight="1">
      <c r="A111" s="2">
        <v>6318</v>
      </c>
      <c r="B111" s="371" t="s">
        <v>244</v>
      </c>
      <c r="C111" s="280"/>
      <c r="D111" s="49">
        <f t="shared" si="111"/>
        <v>0</v>
      </c>
      <c r="E111" s="280"/>
      <c r="F111" s="49">
        <f t="shared" si="112"/>
        <v>0</v>
      </c>
      <c r="G111" s="280"/>
      <c r="H111" s="49">
        <f t="shared" si="113"/>
        <v>0</v>
      </c>
      <c r="I111" s="280"/>
      <c r="J111" s="49">
        <f t="shared" si="114"/>
        <v>0</v>
      </c>
      <c r="K111" s="280"/>
      <c r="L111" s="49">
        <f t="shared" si="115"/>
        <v>0</v>
      </c>
      <c r="M111" s="280"/>
      <c r="N111" s="49">
        <f t="shared" si="116"/>
        <v>0</v>
      </c>
      <c r="O111" s="280"/>
      <c r="P111" s="49">
        <f t="shared" si="117"/>
        <v>0</v>
      </c>
      <c r="Q111" s="280"/>
      <c r="R111" s="49">
        <f t="shared" si="118"/>
        <v>0</v>
      </c>
      <c r="S111" s="280"/>
      <c r="T111" s="49">
        <f t="shared" si="109"/>
        <v>0</v>
      </c>
      <c r="U111" s="280"/>
      <c r="V111" s="49">
        <f t="shared" si="119"/>
        <v>0</v>
      </c>
      <c r="W111" s="280"/>
      <c r="X111" s="49">
        <f t="shared" si="120"/>
        <v>0</v>
      </c>
      <c r="Y111" s="280"/>
      <c r="Z111" s="585">
        <f t="shared" si="110"/>
        <v>0</v>
      </c>
      <c r="AA111" s="589">
        <f t="shared" si="121"/>
        <v>0</v>
      </c>
      <c r="AB111" s="585">
        <f t="shared" si="124"/>
        <v>0</v>
      </c>
      <c r="AC111" s="588">
        <f t="shared" si="94"/>
        <v>0</v>
      </c>
      <c r="AD111" s="585">
        <f t="shared" si="125"/>
        <v>0</v>
      </c>
      <c r="AE111" s="214"/>
      <c r="AF111" s="54"/>
      <c r="AH111" s="21"/>
    </row>
    <row r="112" spans="1:34" s="289" customFormat="1" ht="21.75" customHeight="1">
      <c r="A112" s="2">
        <v>6319</v>
      </c>
      <c r="B112" s="371" t="s">
        <v>245</v>
      </c>
      <c r="C112" s="280"/>
      <c r="D112" s="49">
        <f t="shared" si="111"/>
        <v>0</v>
      </c>
      <c r="E112" s="280">
        <v>1081.2</v>
      </c>
      <c r="F112" s="49">
        <f t="shared" si="112"/>
        <v>8.2028404952658417E-3</v>
      </c>
      <c r="G112" s="280">
        <v>1081.2</v>
      </c>
      <c r="H112" s="49">
        <f t="shared" si="113"/>
        <v>4.9450934460350347E-3</v>
      </c>
      <c r="I112" s="280">
        <v>1081.2</v>
      </c>
      <c r="J112" s="49">
        <f t="shared" si="114"/>
        <v>5.6003686953423103E-3</v>
      </c>
      <c r="K112" s="280">
        <v>1081.2</v>
      </c>
      <c r="L112" s="49">
        <f t="shared" si="115"/>
        <v>6.1232858511239587E-3</v>
      </c>
      <c r="M112" s="280"/>
      <c r="N112" s="49">
        <f t="shared" si="116"/>
        <v>0</v>
      </c>
      <c r="O112" s="280">
        <v>1081.2</v>
      </c>
      <c r="P112" s="49">
        <f t="shared" si="117"/>
        <v>6.8207638377893575E-3</v>
      </c>
      <c r="Q112" s="280">
        <v>1081.2</v>
      </c>
      <c r="R112" s="49">
        <f t="shared" si="118"/>
        <v>5.4929124587558449E-3</v>
      </c>
      <c r="S112" s="280">
        <v>1081.2</v>
      </c>
      <c r="T112" s="49">
        <f t="shared" si="109"/>
        <v>5.452675661298108E-3</v>
      </c>
      <c r="U112" s="280">
        <v>1081.2</v>
      </c>
      <c r="V112" s="49">
        <f t="shared" si="119"/>
        <v>6.8742193364751724E-3</v>
      </c>
      <c r="W112" s="280">
        <v>1081.2</v>
      </c>
      <c r="X112" s="49">
        <f t="shared" si="120"/>
        <v>6.7563777754088552E-3</v>
      </c>
      <c r="Y112" s="280">
        <v>1081.2</v>
      </c>
      <c r="Z112" s="585">
        <f t="shared" si="110"/>
        <v>4.4724572049229701E-3</v>
      </c>
      <c r="AA112" s="589">
        <f t="shared" si="121"/>
        <v>10812.000000000002</v>
      </c>
      <c r="AB112" s="585">
        <f t="shared" si="124"/>
        <v>4.7998495327021863E-3</v>
      </c>
      <c r="AC112" s="588">
        <f t="shared" si="94"/>
        <v>901.00000000000011</v>
      </c>
      <c r="AD112" s="585">
        <f t="shared" si="125"/>
        <v>4.7998495327021863E-3</v>
      </c>
      <c r="AE112" s="214"/>
      <c r="AF112" s="54"/>
      <c r="AH112" s="21"/>
    </row>
    <row r="113" spans="1:34" s="289" customFormat="1" ht="21.75" customHeight="1">
      <c r="A113" s="2">
        <v>6320</v>
      </c>
      <c r="B113" s="371" t="s">
        <v>246</v>
      </c>
      <c r="C113" s="280"/>
      <c r="D113" s="49">
        <f t="shared" si="111"/>
        <v>0</v>
      </c>
      <c r="E113" s="280"/>
      <c r="F113" s="49">
        <f t="shared" si="112"/>
        <v>0</v>
      </c>
      <c r="G113" s="280"/>
      <c r="H113" s="49">
        <f t="shared" si="113"/>
        <v>0</v>
      </c>
      <c r="I113" s="280"/>
      <c r="J113" s="49">
        <f t="shared" si="114"/>
        <v>0</v>
      </c>
      <c r="K113" s="280"/>
      <c r="L113" s="49">
        <f t="shared" si="115"/>
        <v>0</v>
      </c>
      <c r="M113" s="280"/>
      <c r="N113" s="49">
        <f t="shared" si="116"/>
        <v>0</v>
      </c>
      <c r="O113" s="280"/>
      <c r="P113" s="49">
        <f t="shared" si="117"/>
        <v>0</v>
      </c>
      <c r="Q113" s="280"/>
      <c r="R113" s="49">
        <f t="shared" si="118"/>
        <v>0</v>
      </c>
      <c r="S113" s="280"/>
      <c r="T113" s="49">
        <f t="shared" si="109"/>
        <v>0</v>
      </c>
      <c r="U113" s="280"/>
      <c r="V113" s="49">
        <f t="shared" si="119"/>
        <v>0</v>
      </c>
      <c r="W113" s="280"/>
      <c r="X113" s="49">
        <f t="shared" si="120"/>
        <v>0</v>
      </c>
      <c r="Y113" s="280"/>
      <c r="Z113" s="585">
        <f t="shared" si="110"/>
        <v>0</v>
      </c>
      <c r="AA113" s="589">
        <f t="shared" si="121"/>
        <v>0</v>
      </c>
      <c r="AB113" s="585">
        <f t="shared" si="124"/>
        <v>0</v>
      </c>
      <c r="AC113" s="588">
        <f t="shared" si="94"/>
        <v>0</v>
      </c>
      <c r="AD113" s="585">
        <f t="shared" si="125"/>
        <v>0</v>
      </c>
      <c r="AE113" s="214"/>
      <c r="AF113" s="54"/>
      <c r="AH113" s="21"/>
    </row>
    <row r="114" spans="1:34" s="289" customFormat="1" ht="21.75" customHeight="1">
      <c r="A114" s="2">
        <v>6321</v>
      </c>
      <c r="B114" s="371" t="s">
        <v>247</v>
      </c>
      <c r="C114" s="350"/>
      <c r="D114" s="132">
        <f t="shared" si="111"/>
        <v>0</v>
      </c>
      <c r="E114" s="350"/>
      <c r="F114" s="132">
        <f t="shared" si="112"/>
        <v>0</v>
      </c>
      <c r="G114" s="350"/>
      <c r="H114" s="132">
        <f t="shared" si="113"/>
        <v>0</v>
      </c>
      <c r="I114" s="350"/>
      <c r="J114" s="132">
        <f t="shared" si="114"/>
        <v>0</v>
      </c>
      <c r="K114" s="350"/>
      <c r="L114" s="132">
        <f t="shared" si="115"/>
        <v>0</v>
      </c>
      <c r="M114" s="350"/>
      <c r="N114" s="132">
        <f t="shared" si="116"/>
        <v>0</v>
      </c>
      <c r="O114" s="350"/>
      <c r="P114" s="132">
        <f t="shared" si="117"/>
        <v>0</v>
      </c>
      <c r="Q114" s="350"/>
      <c r="R114" s="132">
        <f t="shared" si="118"/>
        <v>0</v>
      </c>
      <c r="S114" s="350"/>
      <c r="T114" s="132">
        <f t="shared" si="109"/>
        <v>0</v>
      </c>
      <c r="U114" s="350"/>
      <c r="V114" s="132">
        <f t="shared" si="119"/>
        <v>0</v>
      </c>
      <c r="W114" s="350"/>
      <c r="X114" s="132">
        <f t="shared" si="120"/>
        <v>0</v>
      </c>
      <c r="Y114" s="350"/>
      <c r="Z114" s="590">
        <f t="shared" si="110"/>
        <v>0</v>
      </c>
      <c r="AA114" s="591">
        <f t="shared" si="121"/>
        <v>0</v>
      </c>
      <c r="AB114" s="590">
        <f t="shared" si="124"/>
        <v>0</v>
      </c>
      <c r="AC114" s="592">
        <f t="shared" si="94"/>
        <v>0</v>
      </c>
      <c r="AD114" s="590">
        <f t="shared" si="125"/>
        <v>0</v>
      </c>
      <c r="AE114" s="214"/>
      <c r="AF114" s="54"/>
      <c r="AH114" s="21"/>
    </row>
    <row r="115" spans="1:34" s="289" customFormat="1" ht="21.75" customHeight="1" thickBot="1">
      <c r="A115" s="4">
        <v>6399</v>
      </c>
      <c r="B115" s="376" t="s">
        <v>115</v>
      </c>
      <c r="C115" s="471">
        <f>SUM(C94:C114)</f>
        <v>1755.0935532928113</v>
      </c>
      <c r="D115" s="472">
        <f>C115/C12</f>
        <v>1.0359484787968358E-2</v>
      </c>
      <c r="E115" s="471">
        <f>SUM(E94:E114)</f>
        <v>4188.28964422849</v>
      </c>
      <c r="F115" s="472">
        <f>E115/E12</f>
        <v>3.1775686181631541E-2</v>
      </c>
      <c r="G115" s="471">
        <f>SUM(G94:G114)</f>
        <v>2793.839499126243</v>
      </c>
      <c r="H115" s="472">
        <f>G115/G12</f>
        <v>1.2778206988903985E-2</v>
      </c>
      <c r="I115" s="471">
        <f>SUM(I94:I114)</f>
        <v>5948.3242175369205</v>
      </c>
      <c r="J115" s="472">
        <f>I115/I12</f>
        <v>3.0810958876840835E-2</v>
      </c>
      <c r="K115" s="471">
        <f>SUM(K94:K114)</f>
        <v>4572.9290212941132</v>
      </c>
      <c r="L115" s="472">
        <f>K115/K12</f>
        <v>2.589840138206102E-2</v>
      </c>
      <c r="M115" s="471">
        <f>SUM(M94:M114)</f>
        <v>1111.9861945049906</v>
      </c>
      <c r="N115" s="472">
        <f>M115/M12</f>
        <v>4.4412569684656915E-3</v>
      </c>
      <c r="O115" s="471">
        <f>SUM(O94:O114)</f>
        <v>1782.4960786731781</v>
      </c>
      <c r="P115" s="472">
        <f>O115/O12</f>
        <v>1.1244898995944641E-2</v>
      </c>
      <c r="Q115" s="471">
        <f>SUM(Q94:Q114)</f>
        <v>5808.6014005859697</v>
      </c>
      <c r="R115" s="472">
        <f>Q115/Q12</f>
        <v>2.9509932483560229E-2</v>
      </c>
      <c r="S115" s="471">
        <f>SUM(S94:S114)</f>
        <v>2510.681097708376</v>
      </c>
      <c r="T115" s="472">
        <f>S115/S12</f>
        <v>1.2661792189008212E-2</v>
      </c>
      <c r="U115" s="471">
        <f>SUM(U94:U114)</f>
        <v>3281.5777754500195</v>
      </c>
      <c r="V115" s="472">
        <f>U115/U12</f>
        <v>2.0864118940201355E-2</v>
      </c>
      <c r="W115" s="471">
        <f>SUM(W94:W114)</f>
        <v>1778.7500682143059</v>
      </c>
      <c r="X115" s="472">
        <f>W115/W12</f>
        <v>1.1115341684138106E-2</v>
      </c>
      <c r="Y115" s="471">
        <f>SUM(Y94:Y114)</f>
        <v>1808.0073993547794</v>
      </c>
      <c r="Z115" s="472">
        <f>Y115/Y12</f>
        <v>7.4789453568241994E-3</v>
      </c>
      <c r="AA115" s="471">
        <f>SUM(AA94:AA114)</f>
        <v>37340.575949970196</v>
      </c>
      <c r="AB115" s="472">
        <f>AA115/AA12</f>
        <v>1.6576872551266639E-2</v>
      </c>
      <c r="AC115" s="473">
        <f t="shared" si="94"/>
        <v>3111.7146624975162</v>
      </c>
      <c r="AD115" s="472">
        <f>AC115/AC12</f>
        <v>1.6576872551266639E-2</v>
      </c>
      <c r="AE115" s="218"/>
      <c r="AF115" s="219"/>
      <c r="AG115" s="209"/>
      <c r="AH115" s="21">
        <f t="shared" si="97"/>
        <v>29565.781128982584</v>
      </c>
    </row>
    <row r="116" spans="1:34" s="289" customFormat="1" ht="21.75" customHeight="1" thickTop="1">
      <c r="A116" s="20">
        <v>6401</v>
      </c>
      <c r="B116" s="377" t="s">
        <v>89</v>
      </c>
      <c r="C116" s="474"/>
      <c r="D116" s="415">
        <f t="shared" ref="D116:D122" si="126">C116/C$12</f>
        <v>0</v>
      </c>
      <c r="E116" s="474"/>
      <c r="F116" s="475">
        <f t="shared" ref="F116:F122" si="127">E116/E$12</f>
        <v>0</v>
      </c>
      <c r="G116" s="474"/>
      <c r="H116" s="415">
        <f t="shared" ref="H116:H122" si="128">G116/G$12</f>
        <v>0</v>
      </c>
      <c r="I116" s="474"/>
      <c r="J116" s="475">
        <f t="shared" ref="J116:J122" si="129">I116/I$12</f>
        <v>0</v>
      </c>
      <c r="K116" s="474"/>
      <c r="L116" s="415">
        <f t="shared" ref="L116:L122" si="130">K116/K$12</f>
        <v>0</v>
      </c>
      <c r="M116" s="462"/>
      <c r="N116" s="475">
        <f t="shared" ref="N116:N122" si="131">M116/M$12</f>
        <v>0</v>
      </c>
      <c r="O116" s="474"/>
      <c r="P116" s="475">
        <f t="shared" ref="P116:P122" si="132">O116/O$12</f>
        <v>0</v>
      </c>
      <c r="Q116" s="474"/>
      <c r="R116" s="475">
        <f t="shared" ref="R116:R122" si="133">Q116/Q$12</f>
        <v>0</v>
      </c>
      <c r="S116" s="474"/>
      <c r="T116" s="475">
        <f t="shared" si="109"/>
        <v>0</v>
      </c>
      <c r="U116" s="474"/>
      <c r="V116" s="475">
        <f t="shared" ref="V116:V122" si="134">U116/U$12</f>
        <v>0</v>
      </c>
      <c r="W116" s="474"/>
      <c r="X116" s="475">
        <f t="shared" ref="X116:X122" si="135">W116/W$12</f>
        <v>0</v>
      </c>
      <c r="Y116" s="474"/>
      <c r="Z116" s="475">
        <f t="shared" si="110"/>
        <v>0</v>
      </c>
      <c r="AA116" s="405">
        <f t="shared" ref="AA116:AA128" si="136">C116+E116+G116+I116+K116+M116+O116+Q116+S116+U116+W116+Y116</f>
        <v>0</v>
      </c>
      <c r="AB116" s="416">
        <f t="shared" ref="AB116:AB122" si="137">AA116/AA$12</f>
        <v>0</v>
      </c>
      <c r="AC116" s="407">
        <f t="shared" si="94"/>
        <v>0</v>
      </c>
      <c r="AD116" s="417">
        <f t="shared" ref="AD116:AD122" si="138">AC116/AC$12</f>
        <v>0</v>
      </c>
      <c r="AE116" s="214"/>
      <c r="AF116" s="54"/>
      <c r="AH116" s="21">
        <f t="shared" si="97"/>
        <v>0</v>
      </c>
    </row>
    <row r="117" spans="1:34" s="5" customFormat="1" ht="21.75" customHeight="1">
      <c r="A117" s="128">
        <v>6402</v>
      </c>
      <c r="B117" s="20" t="s">
        <v>75</v>
      </c>
      <c r="C117" s="176">
        <v>100</v>
      </c>
      <c r="D117" s="49">
        <f t="shared" si="126"/>
        <v>5.9025256907430687E-4</v>
      </c>
      <c r="E117" s="176">
        <v>100</v>
      </c>
      <c r="F117" s="49">
        <f t="shared" si="127"/>
        <v>7.586792910900704E-4</v>
      </c>
      <c r="G117" s="176">
        <v>100</v>
      </c>
      <c r="H117" s="49">
        <f t="shared" si="128"/>
        <v>4.5737083296661438E-4</v>
      </c>
      <c r="I117" s="176">
        <v>100</v>
      </c>
      <c r="J117" s="49">
        <f t="shared" si="129"/>
        <v>5.179771268352118E-4</v>
      </c>
      <c r="K117" s="176">
        <v>100</v>
      </c>
      <c r="L117" s="49">
        <f t="shared" si="130"/>
        <v>5.6634164364816487E-4</v>
      </c>
      <c r="M117" s="176">
        <v>100</v>
      </c>
      <c r="N117" s="49">
        <f t="shared" si="131"/>
        <v>3.9939857081074207E-4</v>
      </c>
      <c r="O117" s="176">
        <v>100</v>
      </c>
      <c r="P117" s="49">
        <f t="shared" si="132"/>
        <v>6.3085126135676629E-4</v>
      </c>
      <c r="Q117" s="176">
        <v>100</v>
      </c>
      <c r="R117" s="49">
        <f t="shared" si="133"/>
        <v>5.0803851819791388E-4</v>
      </c>
      <c r="S117" s="176">
        <v>100</v>
      </c>
      <c r="T117" s="49">
        <f t="shared" si="109"/>
        <v>5.0431702379745728E-4</v>
      </c>
      <c r="U117" s="176">
        <v>100</v>
      </c>
      <c r="V117" s="49">
        <f t="shared" si="134"/>
        <v>6.3579535113532858E-4</v>
      </c>
      <c r="W117" s="176">
        <v>100</v>
      </c>
      <c r="X117" s="49">
        <f t="shared" si="135"/>
        <v>6.248962056426984E-4</v>
      </c>
      <c r="Y117" s="176">
        <v>100</v>
      </c>
      <c r="Z117" s="49">
        <f t="shared" si="110"/>
        <v>4.1365678920856177E-4</v>
      </c>
      <c r="AA117" s="405">
        <f t="shared" si="136"/>
        <v>1200</v>
      </c>
      <c r="AB117" s="415">
        <f t="shared" si="137"/>
        <v>5.3272469841311721E-4</v>
      </c>
      <c r="AC117" s="476">
        <f t="shared" si="94"/>
        <v>100</v>
      </c>
      <c r="AD117" s="415">
        <f t="shared" si="138"/>
        <v>5.3272469841311721E-4</v>
      </c>
      <c r="AE117" s="144"/>
      <c r="AF117" s="54"/>
      <c r="AH117" s="21">
        <f t="shared" si="97"/>
        <v>509</v>
      </c>
    </row>
    <row r="118" spans="1:34" s="5" customFormat="1" ht="21.75" customHeight="1">
      <c r="A118" s="128">
        <v>6403</v>
      </c>
      <c r="B118" s="20" t="s">
        <v>277</v>
      </c>
      <c r="C118" s="176"/>
      <c r="D118" s="49"/>
      <c r="E118" s="176"/>
      <c r="F118" s="49"/>
      <c r="G118" s="176"/>
      <c r="H118" s="49"/>
      <c r="I118" s="176"/>
      <c r="J118" s="49"/>
      <c r="K118" s="176"/>
      <c r="L118" s="49"/>
      <c r="M118" s="176"/>
      <c r="N118" s="49"/>
      <c r="O118" s="176"/>
      <c r="P118" s="49"/>
      <c r="Q118" s="176"/>
      <c r="R118" s="49"/>
      <c r="S118" s="176"/>
      <c r="T118" s="49"/>
      <c r="U118" s="176"/>
      <c r="V118" s="49"/>
      <c r="W118" s="176"/>
      <c r="X118" s="49"/>
      <c r="Y118" s="176"/>
      <c r="Z118" s="49"/>
      <c r="AA118" s="405">
        <f t="shared" si="136"/>
        <v>0</v>
      </c>
      <c r="AB118" s="415">
        <f t="shared" si="137"/>
        <v>0</v>
      </c>
      <c r="AC118" s="476">
        <f t="shared" si="94"/>
        <v>0</v>
      </c>
      <c r="AD118" s="415">
        <f t="shared" si="138"/>
        <v>0</v>
      </c>
      <c r="AE118" s="144"/>
      <c r="AF118" s="54"/>
      <c r="AH118" s="21"/>
    </row>
    <row r="119" spans="1:34" s="289" customFormat="1" ht="21.75" customHeight="1">
      <c r="A119" s="2">
        <v>6404</v>
      </c>
      <c r="B119" s="147" t="s">
        <v>92</v>
      </c>
      <c r="C119" s="176">
        <v>250</v>
      </c>
      <c r="D119" s="49">
        <f t="shared" si="126"/>
        <v>1.4756314226857673E-3</v>
      </c>
      <c r="E119" s="176">
        <v>250</v>
      </c>
      <c r="F119" s="49">
        <f t="shared" si="127"/>
        <v>1.896698227725176E-3</v>
      </c>
      <c r="G119" s="176">
        <v>250</v>
      </c>
      <c r="H119" s="49">
        <f t="shared" si="128"/>
        <v>1.1434270824165359E-3</v>
      </c>
      <c r="I119" s="176">
        <v>250</v>
      </c>
      <c r="J119" s="49">
        <f t="shared" si="129"/>
        <v>1.2949428170880295E-3</v>
      </c>
      <c r="K119" s="176">
        <v>250</v>
      </c>
      <c r="L119" s="49">
        <f t="shared" si="130"/>
        <v>1.4158541091204122E-3</v>
      </c>
      <c r="M119" s="176">
        <v>250</v>
      </c>
      <c r="N119" s="49">
        <f t="shared" si="131"/>
        <v>9.9849642702685526E-4</v>
      </c>
      <c r="O119" s="176">
        <v>250</v>
      </c>
      <c r="P119" s="49">
        <f t="shared" si="132"/>
        <v>1.5771281533919156E-3</v>
      </c>
      <c r="Q119" s="176">
        <v>250</v>
      </c>
      <c r="R119" s="49">
        <f t="shared" si="133"/>
        <v>1.2700962954947845E-3</v>
      </c>
      <c r="S119" s="176">
        <v>250</v>
      </c>
      <c r="T119" s="49">
        <f t="shared" si="109"/>
        <v>1.2607925594936432E-3</v>
      </c>
      <c r="U119" s="176">
        <v>250</v>
      </c>
      <c r="V119" s="49">
        <f t="shared" si="134"/>
        <v>1.5894883778383214E-3</v>
      </c>
      <c r="W119" s="176">
        <v>250</v>
      </c>
      <c r="X119" s="49">
        <f t="shared" si="135"/>
        <v>1.5622405141067458E-3</v>
      </c>
      <c r="Y119" s="176">
        <v>250</v>
      </c>
      <c r="Z119" s="49">
        <f t="shared" si="110"/>
        <v>1.0341419730214045E-3</v>
      </c>
      <c r="AA119" s="405">
        <f t="shared" si="136"/>
        <v>3000</v>
      </c>
      <c r="AB119" s="416">
        <f t="shared" si="137"/>
        <v>1.3318117460327929E-3</v>
      </c>
      <c r="AC119" s="476">
        <f t="shared" si="94"/>
        <v>250</v>
      </c>
      <c r="AD119" s="417">
        <f t="shared" si="138"/>
        <v>1.3318117460327929E-3</v>
      </c>
      <c r="AE119" s="214"/>
      <c r="AF119" s="54"/>
      <c r="AH119" s="21">
        <f t="shared" si="97"/>
        <v>1272.5</v>
      </c>
    </row>
    <row r="120" spans="1:34" s="289" customFormat="1" ht="21.75" customHeight="1">
      <c r="A120" s="2">
        <v>6406</v>
      </c>
      <c r="B120" s="147" t="s">
        <v>72</v>
      </c>
      <c r="C120" s="62">
        <v>150</v>
      </c>
      <c r="D120" s="49">
        <f t="shared" si="126"/>
        <v>8.853788536114603E-4</v>
      </c>
      <c r="E120" s="62">
        <v>150</v>
      </c>
      <c r="F120" s="49">
        <f t="shared" si="127"/>
        <v>1.1380189366351056E-3</v>
      </c>
      <c r="G120" s="62">
        <v>150</v>
      </c>
      <c r="H120" s="49">
        <f t="shared" si="128"/>
        <v>6.8605624944992154E-4</v>
      </c>
      <c r="I120" s="62">
        <v>150</v>
      </c>
      <c r="J120" s="49">
        <f t="shared" si="129"/>
        <v>7.769656902528177E-4</v>
      </c>
      <c r="K120" s="62">
        <v>150</v>
      </c>
      <c r="L120" s="49">
        <f t="shared" si="130"/>
        <v>8.495124654722473E-4</v>
      </c>
      <c r="M120" s="62">
        <v>150</v>
      </c>
      <c r="N120" s="49">
        <f t="shared" si="131"/>
        <v>5.9909785621611313E-4</v>
      </c>
      <c r="O120" s="62">
        <v>150</v>
      </c>
      <c r="P120" s="49">
        <f t="shared" si="132"/>
        <v>9.4627689203514943E-4</v>
      </c>
      <c r="Q120" s="62">
        <v>150</v>
      </c>
      <c r="R120" s="49">
        <f t="shared" si="133"/>
        <v>7.6205777729687076E-4</v>
      </c>
      <c r="S120" s="62">
        <v>150</v>
      </c>
      <c r="T120" s="49">
        <f t="shared" si="109"/>
        <v>7.5647553569618592E-4</v>
      </c>
      <c r="U120" s="62">
        <v>150</v>
      </c>
      <c r="V120" s="49">
        <f t="shared" si="134"/>
        <v>9.5369302670299282E-4</v>
      </c>
      <c r="W120" s="62">
        <v>150</v>
      </c>
      <c r="X120" s="49">
        <f t="shared" si="135"/>
        <v>9.3734430846404749E-4</v>
      </c>
      <c r="Y120" s="62">
        <v>150</v>
      </c>
      <c r="Z120" s="49">
        <f t="shared" si="110"/>
        <v>6.204851838128426E-4</v>
      </c>
      <c r="AA120" s="405">
        <f t="shared" si="136"/>
        <v>1800</v>
      </c>
      <c r="AB120" s="416">
        <f t="shared" si="137"/>
        <v>7.9908704761967576E-4</v>
      </c>
      <c r="AC120" s="476">
        <f t="shared" si="94"/>
        <v>150</v>
      </c>
      <c r="AD120" s="417">
        <f t="shared" si="138"/>
        <v>7.9908704761967576E-4</v>
      </c>
      <c r="AE120" s="214"/>
      <c r="AF120" s="54"/>
      <c r="AH120" s="21">
        <f t="shared" si="97"/>
        <v>763.5</v>
      </c>
    </row>
    <row r="121" spans="1:34" s="289" customFormat="1" ht="21.75" customHeight="1">
      <c r="A121" s="2">
        <v>6407</v>
      </c>
      <c r="B121" s="147" t="s">
        <v>73</v>
      </c>
      <c r="C121" s="62">
        <v>0</v>
      </c>
      <c r="D121" s="49">
        <f t="shared" si="126"/>
        <v>0</v>
      </c>
      <c r="E121" s="62">
        <v>0</v>
      </c>
      <c r="F121" s="49">
        <f t="shared" si="127"/>
        <v>0</v>
      </c>
      <c r="G121" s="62">
        <v>0</v>
      </c>
      <c r="H121" s="49">
        <f t="shared" si="128"/>
        <v>0</v>
      </c>
      <c r="I121" s="62">
        <v>0</v>
      </c>
      <c r="J121" s="49">
        <f t="shared" si="129"/>
        <v>0</v>
      </c>
      <c r="K121" s="62">
        <v>0</v>
      </c>
      <c r="L121" s="49">
        <f t="shared" si="130"/>
        <v>0</v>
      </c>
      <c r="M121" s="62">
        <v>0</v>
      </c>
      <c r="N121" s="49">
        <f t="shared" si="131"/>
        <v>0</v>
      </c>
      <c r="O121" s="62">
        <v>0</v>
      </c>
      <c r="P121" s="49">
        <f t="shared" si="132"/>
        <v>0</v>
      </c>
      <c r="Q121" s="62">
        <v>0</v>
      </c>
      <c r="R121" s="49">
        <f t="shared" si="133"/>
        <v>0</v>
      </c>
      <c r="S121" s="62">
        <v>0</v>
      </c>
      <c r="T121" s="49">
        <f t="shared" si="109"/>
        <v>0</v>
      </c>
      <c r="U121" s="62">
        <v>0</v>
      </c>
      <c r="V121" s="49">
        <f t="shared" si="134"/>
        <v>0</v>
      </c>
      <c r="W121" s="62">
        <v>0</v>
      </c>
      <c r="X121" s="49">
        <f t="shared" si="135"/>
        <v>0</v>
      </c>
      <c r="Y121" s="62">
        <v>0</v>
      </c>
      <c r="Z121" s="49">
        <f t="shared" si="110"/>
        <v>0</v>
      </c>
      <c r="AA121" s="405">
        <f t="shared" si="136"/>
        <v>0</v>
      </c>
      <c r="AB121" s="416">
        <f t="shared" si="137"/>
        <v>0</v>
      </c>
      <c r="AC121" s="476">
        <f t="shared" si="94"/>
        <v>0</v>
      </c>
      <c r="AD121" s="417">
        <f t="shared" si="138"/>
        <v>0</v>
      </c>
      <c r="AE121" s="214"/>
      <c r="AF121" s="54"/>
      <c r="AH121" s="21">
        <f t="shared" si="97"/>
        <v>0</v>
      </c>
    </row>
    <row r="122" spans="1:34" s="289" customFormat="1" ht="21.75" customHeight="1">
      <c r="A122" s="2">
        <v>6408</v>
      </c>
      <c r="B122" s="147" t="s">
        <v>42</v>
      </c>
      <c r="C122" s="62">
        <v>0</v>
      </c>
      <c r="D122" s="49">
        <f t="shared" si="126"/>
        <v>0</v>
      </c>
      <c r="E122" s="62">
        <v>0</v>
      </c>
      <c r="F122" s="49">
        <f t="shared" si="127"/>
        <v>0</v>
      </c>
      <c r="G122" s="62">
        <v>0</v>
      </c>
      <c r="H122" s="49">
        <f t="shared" si="128"/>
        <v>0</v>
      </c>
      <c r="I122" s="62">
        <v>0</v>
      </c>
      <c r="J122" s="49">
        <f t="shared" si="129"/>
        <v>0</v>
      </c>
      <c r="K122" s="62">
        <v>0</v>
      </c>
      <c r="L122" s="49">
        <f t="shared" si="130"/>
        <v>0</v>
      </c>
      <c r="M122" s="62">
        <v>0</v>
      </c>
      <c r="N122" s="49">
        <f t="shared" si="131"/>
        <v>0</v>
      </c>
      <c r="O122" s="62">
        <v>0</v>
      </c>
      <c r="P122" s="49">
        <f t="shared" si="132"/>
        <v>0</v>
      </c>
      <c r="Q122" s="62">
        <v>0</v>
      </c>
      <c r="R122" s="49">
        <f t="shared" si="133"/>
        <v>0</v>
      </c>
      <c r="S122" s="62">
        <v>0</v>
      </c>
      <c r="T122" s="49">
        <f t="shared" si="109"/>
        <v>0</v>
      </c>
      <c r="U122" s="62">
        <v>0</v>
      </c>
      <c r="V122" s="49">
        <f t="shared" si="134"/>
        <v>0</v>
      </c>
      <c r="W122" s="62">
        <v>0</v>
      </c>
      <c r="X122" s="49">
        <f t="shared" si="135"/>
        <v>0</v>
      </c>
      <c r="Y122" s="62">
        <v>0</v>
      </c>
      <c r="Z122" s="49">
        <f t="shared" si="110"/>
        <v>0</v>
      </c>
      <c r="AA122" s="405">
        <f t="shared" si="136"/>
        <v>0</v>
      </c>
      <c r="AB122" s="416">
        <f t="shared" si="137"/>
        <v>0</v>
      </c>
      <c r="AC122" s="476">
        <f t="shared" si="94"/>
        <v>0</v>
      </c>
      <c r="AD122" s="417">
        <f t="shared" si="138"/>
        <v>0</v>
      </c>
      <c r="AE122" s="214"/>
      <c r="AF122" s="54"/>
      <c r="AH122" s="21">
        <f t="shared" si="97"/>
        <v>0</v>
      </c>
    </row>
    <row r="123" spans="1:34" s="289" customFormat="1" ht="21.75" customHeight="1">
      <c r="A123" s="2">
        <v>6410</v>
      </c>
      <c r="B123" s="147" t="s">
        <v>105</v>
      </c>
      <c r="C123" s="62"/>
      <c r="D123" s="49"/>
      <c r="E123" s="62"/>
      <c r="F123" s="49"/>
      <c r="G123" s="62"/>
      <c r="H123" s="49"/>
      <c r="I123" s="62"/>
      <c r="J123" s="49"/>
      <c r="K123" s="62"/>
      <c r="L123" s="49"/>
      <c r="M123" s="62"/>
      <c r="N123" s="49"/>
      <c r="O123" s="62"/>
      <c r="P123" s="49"/>
      <c r="Q123" s="62"/>
      <c r="R123" s="49"/>
      <c r="S123" s="62"/>
      <c r="T123" s="49"/>
      <c r="U123" s="62"/>
      <c r="V123" s="49"/>
      <c r="W123" s="62"/>
      <c r="X123" s="49"/>
      <c r="Y123" s="62"/>
      <c r="Z123" s="49"/>
      <c r="AA123" s="405">
        <f t="shared" si="136"/>
        <v>0</v>
      </c>
      <c r="AB123" s="416"/>
      <c r="AC123" s="476">
        <f t="shared" si="94"/>
        <v>0</v>
      </c>
      <c r="AD123" s="417"/>
      <c r="AE123" s="214"/>
      <c r="AF123" s="54"/>
      <c r="AH123" s="21">
        <f t="shared" si="97"/>
        <v>0</v>
      </c>
    </row>
    <row r="124" spans="1:34" s="289" customFormat="1" ht="21.75" customHeight="1">
      <c r="A124" s="2">
        <v>6411</v>
      </c>
      <c r="B124" s="147" t="s">
        <v>117</v>
      </c>
      <c r="C124" s="62"/>
      <c r="D124" s="49"/>
      <c r="E124" s="62"/>
      <c r="F124" s="49"/>
      <c r="G124" s="62"/>
      <c r="H124" s="49"/>
      <c r="I124" s="62"/>
      <c r="J124" s="49"/>
      <c r="K124" s="62"/>
      <c r="L124" s="49"/>
      <c r="M124" s="62"/>
      <c r="N124" s="49"/>
      <c r="O124" s="62"/>
      <c r="P124" s="49"/>
      <c r="Q124" s="62"/>
      <c r="R124" s="49"/>
      <c r="S124" s="62"/>
      <c r="T124" s="49"/>
      <c r="U124" s="62"/>
      <c r="V124" s="49"/>
      <c r="W124" s="62"/>
      <c r="X124" s="49"/>
      <c r="Y124" s="62"/>
      <c r="Z124" s="49"/>
      <c r="AA124" s="405">
        <f t="shared" si="136"/>
        <v>0</v>
      </c>
      <c r="AB124" s="416"/>
      <c r="AC124" s="476">
        <f t="shared" si="94"/>
        <v>0</v>
      </c>
      <c r="AD124" s="417"/>
      <c r="AE124" s="214"/>
      <c r="AF124" s="54"/>
      <c r="AH124" s="21">
        <f t="shared" si="97"/>
        <v>0</v>
      </c>
    </row>
    <row r="125" spans="1:34" s="289" customFormat="1" ht="21.75" customHeight="1">
      <c r="A125" s="2">
        <v>6412</v>
      </c>
      <c r="B125" s="147" t="s">
        <v>93</v>
      </c>
      <c r="C125" s="62"/>
      <c r="D125" s="49">
        <f>C125/C$12</f>
        <v>0</v>
      </c>
      <c r="E125" s="62"/>
      <c r="F125" s="49">
        <f>E125/E$12</f>
        <v>0</v>
      </c>
      <c r="G125" s="62"/>
      <c r="H125" s="49">
        <f>G125/G$12</f>
        <v>0</v>
      </c>
      <c r="I125" s="62"/>
      <c r="J125" s="49">
        <f>I125/I$12</f>
        <v>0</v>
      </c>
      <c r="K125" s="62"/>
      <c r="L125" s="49">
        <f>K125/K$12</f>
        <v>0</v>
      </c>
      <c r="M125" s="62"/>
      <c r="N125" s="49">
        <f>M125/M$12</f>
        <v>0</v>
      </c>
      <c r="O125" s="62"/>
      <c r="P125" s="49">
        <f>O125/O$12</f>
        <v>0</v>
      </c>
      <c r="Q125" s="62"/>
      <c r="R125" s="49">
        <f>Q125/Q$12</f>
        <v>0</v>
      </c>
      <c r="S125" s="62"/>
      <c r="T125" s="49">
        <f>S125/S$12</f>
        <v>0</v>
      </c>
      <c r="U125" s="62"/>
      <c r="V125" s="49">
        <f>U125/U$12</f>
        <v>0</v>
      </c>
      <c r="W125" s="62"/>
      <c r="X125" s="49">
        <f>W125/W$12</f>
        <v>0</v>
      </c>
      <c r="Y125" s="62"/>
      <c r="Z125" s="49">
        <f>Y125/Y$12</f>
        <v>0</v>
      </c>
      <c r="AA125" s="405">
        <f t="shared" si="136"/>
        <v>0</v>
      </c>
      <c r="AB125" s="416">
        <f>AA125/AA$12</f>
        <v>0</v>
      </c>
      <c r="AC125" s="476">
        <f t="shared" si="94"/>
        <v>0</v>
      </c>
      <c r="AD125" s="417">
        <f>AC125/AC$12</f>
        <v>0</v>
      </c>
      <c r="AE125" s="214"/>
      <c r="AF125" s="54"/>
      <c r="AH125" s="21">
        <f t="shared" si="97"/>
        <v>0</v>
      </c>
    </row>
    <row r="126" spans="1:34" s="289" customFormat="1" ht="21.75" customHeight="1">
      <c r="A126" s="128">
        <v>6413</v>
      </c>
      <c r="B126" s="20" t="s">
        <v>41</v>
      </c>
      <c r="C126" s="62">
        <f>C16*1%</f>
        <v>1694.19</v>
      </c>
      <c r="D126" s="49">
        <f>C126/C$12</f>
        <v>0.01</v>
      </c>
      <c r="E126" s="62">
        <f>E16*1%</f>
        <v>1318.08</v>
      </c>
      <c r="F126" s="49">
        <f>E126/E$12</f>
        <v>0.01</v>
      </c>
      <c r="G126" s="62">
        <f>G16*1%</f>
        <v>2186.4096438195802</v>
      </c>
      <c r="H126" s="49">
        <f>G126/G$12</f>
        <v>0.01</v>
      </c>
      <c r="I126" s="62">
        <f>I16*1%</f>
        <v>1930.5871788391498</v>
      </c>
      <c r="J126" s="49">
        <f>I126/I$12</f>
        <v>0.01</v>
      </c>
      <c r="K126" s="62">
        <f>K16*1%</f>
        <v>1765.7186456541801</v>
      </c>
      <c r="L126" s="49">
        <f>K126/K$12</f>
        <v>0.01</v>
      </c>
      <c r="M126" s="62">
        <f>M16*1%</f>
        <v>2503.7645927728104</v>
      </c>
      <c r="N126" s="49">
        <f>M126/M$12</f>
        <v>0.01</v>
      </c>
      <c r="O126" s="62">
        <f>O16*1%</f>
        <v>1585.1597060285001</v>
      </c>
      <c r="P126" s="49">
        <f>O126/O$12</f>
        <v>0.01</v>
      </c>
      <c r="Q126" s="62">
        <f>Q16*1%</f>
        <v>1968.3546900088299</v>
      </c>
      <c r="R126" s="49">
        <f>Q126/Q$12</f>
        <v>0.01</v>
      </c>
      <c r="S126" s="62">
        <f>S16*1%</f>
        <v>1982.8797221043601</v>
      </c>
      <c r="T126" s="49">
        <f>S126/S$12</f>
        <v>0.01</v>
      </c>
      <c r="U126" s="62">
        <f>U16*1%</f>
        <v>1572.8331423221603</v>
      </c>
      <c r="V126" s="49">
        <f>U126/U$12</f>
        <v>0.01</v>
      </c>
      <c r="W126" s="62">
        <f>W16*1%</f>
        <v>1600.26575768933</v>
      </c>
      <c r="X126" s="49">
        <f>W126/W$12</f>
        <v>0.01</v>
      </c>
      <c r="Y126" s="62">
        <f>Y16*1%</f>
        <v>2417.4630420384801</v>
      </c>
      <c r="Z126" s="49">
        <f>Y126/Y$12</f>
        <v>0.01</v>
      </c>
      <c r="AA126" s="405">
        <f t="shared" si="136"/>
        <v>22525.706121277377</v>
      </c>
      <c r="AB126" s="416">
        <f>AA126/AA$12</f>
        <v>9.9999999999999985E-3</v>
      </c>
      <c r="AC126" s="476">
        <f t="shared" si="94"/>
        <v>1877.1421767731147</v>
      </c>
      <c r="AD126" s="417">
        <f>AC126/AC$12</f>
        <v>9.9999999999999985E-3</v>
      </c>
      <c r="AE126" s="214" t="s">
        <v>182</v>
      </c>
      <c r="AF126" s="205"/>
      <c r="AH126" s="21">
        <f t="shared" si="97"/>
        <v>10018.925372144944</v>
      </c>
    </row>
    <row r="127" spans="1:34" s="289" customFormat="1" ht="21.75" customHeight="1">
      <c r="A127" s="2">
        <v>6414</v>
      </c>
      <c r="B127" s="147" t="s">
        <v>43</v>
      </c>
      <c r="C127" s="62">
        <v>100</v>
      </c>
      <c r="D127" s="49">
        <f>C127/C$12</f>
        <v>5.9025256907430687E-4</v>
      </c>
      <c r="E127" s="62">
        <v>100</v>
      </c>
      <c r="F127" s="49">
        <f>E127/E$12</f>
        <v>7.586792910900704E-4</v>
      </c>
      <c r="G127" s="62">
        <v>100</v>
      </c>
      <c r="H127" s="49">
        <f>G127/G$12</f>
        <v>4.5737083296661438E-4</v>
      </c>
      <c r="I127" s="62">
        <v>100</v>
      </c>
      <c r="J127" s="49">
        <f>I127/I$12</f>
        <v>5.179771268352118E-4</v>
      </c>
      <c r="K127" s="62">
        <v>100</v>
      </c>
      <c r="L127" s="49">
        <f>K127/K$12</f>
        <v>5.6634164364816487E-4</v>
      </c>
      <c r="M127" s="62">
        <v>100</v>
      </c>
      <c r="N127" s="49">
        <f>M127/M$12</f>
        <v>3.9939857081074207E-4</v>
      </c>
      <c r="O127" s="62">
        <v>100</v>
      </c>
      <c r="P127" s="49">
        <f>O127/O$12</f>
        <v>6.3085126135676629E-4</v>
      </c>
      <c r="Q127" s="62">
        <v>100</v>
      </c>
      <c r="R127" s="49">
        <f>Q127/Q$12</f>
        <v>5.0803851819791388E-4</v>
      </c>
      <c r="S127" s="62">
        <v>100</v>
      </c>
      <c r="T127" s="49">
        <f>S127/S$12</f>
        <v>5.0431702379745728E-4</v>
      </c>
      <c r="U127" s="62">
        <v>100</v>
      </c>
      <c r="V127" s="49">
        <f>U127/U$12</f>
        <v>6.3579535113532858E-4</v>
      </c>
      <c r="W127" s="62">
        <v>100</v>
      </c>
      <c r="X127" s="49">
        <f>W127/W$12</f>
        <v>6.248962056426984E-4</v>
      </c>
      <c r="Y127" s="62">
        <v>100</v>
      </c>
      <c r="Z127" s="49">
        <f>Y127/Y$12</f>
        <v>4.1365678920856177E-4</v>
      </c>
      <c r="AA127" s="405">
        <f t="shared" si="136"/>
        <v>1200</v>
      </c>
      <c r="AB127" s="416">
        <f>AA127/AA$12</f>
        <v>5.3272469841311721E-4</v>
      </c>
      <c r="AC127" s="476">
        <f t="shared" si="94"/>
        <v>100</v>
      </c>
      <c r="AD127" s="417">
        <f>AC127/AC$12</f>
        <v>5.3272469841311721E-4</v>
      </c>
      <c r="AE127" s="214" t="s">
        <v>181</v>
      </c>
      <c r="AF127" s="54"/>
      <c r="AH127" s="21">
        <f t="shared" si="97"/>
        <v>509</v>
      </c>
    </row>
    <row r="128" spans="1:34" s="289" customFormat="1" ht="21.75" customHeight="1">
      <c r="A128" s="2">
        <v>6415</v>
      </c>
      <c r="B128" s="147" t="s">
        <v>44</v>
      </c>
      <c r="C128" s="62"/>
      <c r="D128" s="49">
        <f>C128/C$12</f>
        <v>0</v>
      </c>
      <c r="E128" s="62"/>
      <c r="F128" s="49">
        <f>E128/E$12</f>
        <v>0</v>
      </c>
      <c r="G128" s="62"/>
      <c r="H128" s="49">
        <f>G128/G$12</f>
        <v>0</v>
      </c>
      <c r="I128" s="62"/>
      <c r="J128" s="49">
        <f>I128/I$12</f>
        <v>0</v>
      </c>
      <c r="K128" s="62"/>
      <c r="L128" s="49">
        <f>K128/K$12</f>
        <v>0</v>
      </c>
      <c r="M128" s="62"/>
      <c r="N128" s="49">
        <f>M128/M$12</f>
        <v>0</v>
      </c>
      <c r="O128" s="62"/>
      <c r="P128" s="49">
        <f>O128/O$12</f>
        <v>0</v>
      </c>
      <c r="Q128" s="62"/>
      <c r="R128" s="49">
        <f>Q128/Q$12</f>
        <v>0</v>
      </c>
      <c r="S128" s="62"/>
      <c r="T128" s="49">
        <f>S128/S$12</f>
        <v>0</v>
      </c>
      <c r="U128" s="62"/>
      <c r="V128" s="49">
        <f>U128/U$12</f>
        <v>0</v>
      </c>
      <c r="W128" s="62"/>
      <c r="X128" s="49">
        <f>W128/W$12</f>
        <v>0</v>
      </c>
      <c r="Y128" s="62"/>
      <c r="Z128" s="49">
        <f>Y128/Y$12</f>
        <v>0</v>
      </c>
      <c r="AA128" s="405">
        <f t="shared" si="136"/>
        <v>0</v>
      </c>
      <c r="AB128" s="416">
        <f>AA128/AA$12</f>
        <v>0</v>
      </c>
      <c r="AC128" s="476">
        <f t="shared" si="94"/>
        <v>0</v>
      </c>
      <c r="AD128" s="417">
        <f>AC128/AC$12</f>
        <v>0</v>
      </c>
      <c r="AE128" s="214"/>
      <c r="AF128" s="54"/>
      <c r="AH128" s="21">
        <f t="shared" si="97"/>
        <v>0</v>
      </c>
    </row>
    <row r="129" spans="1:35" s="289" customFormat="1" ht="21.75" customHeight="1" thickBot="1">
      <c r="A129" s="4">
        <v>6499</v>
      </c>
      <c r="B129" s="376" t="s">
        <v>116</v>
      </c>
      <c r="C129" s="419">
        <f>SUM(C116:C128)</f>
        <v>2294.19</v>
      </c>
      <c r="D129" s="421">
        <f>C129/C12</f>
        <v>1.3541515414445841E-2</v>
      </c>
      <c r="E129" s="419">
        <f>SUM(E116:E128)</f>
        <v>1918.08</v>
      </c>
      <c r="F129" s="421">
        <f>E129/E12</f>
        <v>1.4552075746540423E-2</v>
      </c>
      <c r="G129" s="419">
        <f>SUM(G116:G128)</f>
        <v>2786.4096438195802</v>
      </c>
      <c r="H129" s="421">
        <f>G129/G12</f>
        <v>1.2744224997799687E-2</v>
      </c>
      <c r="I129" s="419">
        <f>SUM(I116:I128)</f>
        <v>2530.5871788391496</v>
      </c>
      <c r="J129" s="421">
        <f>I129/I12</f>
        <v>1.3107862761011271E-2</v>
      </c>
      <c r="K129" s="442">
        <f>SUM(K116:K128)</f>
        <v>2365.7186456541804</v>
      </c>
      <c r="L129" s="421">
        <f>K129/K12</f>
        <v>1.3398049861888991E-2</v>
      </c>
      <c r="M129" s="442">
        <f>SUM(M116:M128)</f>
        <v>3103.7645927728104</v>
      </c>
      <c r="N129" s="421">
        <f>M129/M12</f>
        <v>1.2396391424864454E-2</v>
      </c>
      <c r="O129" s="442">
        <f>SUM(O116:O128)</f>
        <v>2185.1597060285003</v>
      </c>
      <c r="P129" s="421">
        <f>O129/O12</f>
        <v>1.37851075681406E-2</v>
      </c>
      <c r="Q129" s="419">
        <f>SUM(Q116:Q128)</f>
        <v>2568.3546900088299</v>
      </c>
      <c r="R129" s="421">
        <f>Q129/Q12</f>
        <v>1.3048231109187482E-2</v>
      </c>
      <c r="S129" s="419">
        <f>SUM(S116:S128)</f>
        <v>2582.8797221043601</v>
      </c>
      <c r="T129" s="421">
        <f>S129/S$12</f>
        <v>1.3025902142784743E-2</v>
      </c>
      <c r="U129" s="419">
        <f>SUM(U116:U128)</f>
        <v>2172.8331423221603</v>
      </c>
      <c r="V129" s="421">
        <f>U129/U12</f>
        <v>1.3814772106811972E-2</v>
      </c>
      <c r="W129" s="419">
        <f>SUM(W116:W128)</f>
        <v>2200.2657576893298</v>
      </c>
      <c r="X129" s="421">
        <f>W129/W12</f>
        <v>1.374937723385619E-2</v>
      </c>
      <c r="Y129" s="419">
        <f>SUM(Y116:Y128)</f>
        <v>3017.4630420384801</v>
      </c>
      <c r="Z129" s="421">
        <f>Y129/Y$12</f>
        <v>1.2481940735251371E-2</v>
      </c>
      <c r="AA129" s="422">
        <f>SUM(AA116:AA128)</f>
        <v>29725.706121277377</v>
      </c>
      <c r="AB129" s="423">
        <f>AA129/AA$12</f>
        <v>1.3196348190478701E-2</v>
      </c>
      <c r="AC129" s="424">
        <f t="shared" si="94"/>
        <v>2477.1421767731149</v>
      </c>
      <c r="AD129" s="425">
        <f>AC129/AC$12</f>
        <v>1.3196348190478702E-2</v>
      </c>
      <c r="AE129" s="218"/>
      <c r="AF129" s="219"/>
      <c r="AG129" s="209"/>
      <c r="AH129" s="21">
        <f t="shared" si="97"/>
        <v>13072.925372144944</v>
      </c>
    </row>
    <row r="130" spans="1:35" s="289" customFormat="1" ht="21.75" customHeight="1" thickTop="1">
      <c r="A130" s="139"/>
      <c r="B130" s="379"/>
      <c r="C130" s="440"/>
      <c r="D130" s="477"/>
      <c r="E130" s="440"/>
      <c r="F130" s="477"/>
      <c r="G130" s="440"/>
      <c r="H130" s="477"/>
      <c r="I130" s="440"/>
      <c r="J130" s="477"/>
      <c r="K130" s="441"/>
      <c r="L130" s="477"/>
      <c r="M130" s="441"/>
      <c r="N130" s="477"/>
      <c r="O130" s="441"/>
      <c r="P130" s="477"/>
      <c r="Q130" s="478"/>
      <c r="R130" s="477"/>
      <c r="S130" s="478"/>
      <c r="T130" s="477"/>
      <c r="U130" s="478"/>
      <c r="V130" s="477"/>
      <c r="W130" s="478"/>
      <c r="X130" s="477"/>
      <c r="Y130" s="478"/>
      <c r="Z130" s="477"/>
      <c r="AA130" s="478"/>
      <c r="AB130" s="477"/>
      <c r="AC130" s="478">
        <f t="shared" si="94"/>
        <v>0</v>
      </c>
      <c r="AD130" s="477"/>
      <c r="AE130" s="138"/>
      <c r="AF130" s="54"/>
      <c r="AH130" s="21">
        <f t="shared" si="97"/>
        <v>0</v>
      </c>
    </row>
    <row r="131" spans="1:35" s="289" customFormat="1" ht="21.75" customHeight="1" thickBot="1">
      <c r="A131" s="142"/>
      <c r="B131" s="380" t="s">
        <v>187</v>
      </c>
      <c r="C131" s="479">
        <f>C37-C41-C76-C93-C115-C129</f>
        <v>16095.776591151634</v>
      </c>
      <c r="D131" s="480">
        <f>C131/C12</f>
        <v>9.5005734841733427E-2</v>
      </c>
      <c r="E131" s="479">
        <f>E37-E41-E76-E93-E115-E129</f>
        <v>-4464.3629997840389</v>
      </c>
      <c r="F131" s="480">
        <f>E131/E12</f>
        <v>-3.3870197558448951E-2</v>
      </c>
      <c r="G131" s="479">
        <f>G37-G41-G76-G93-G115-G129</f>
        <v>28766.435593942115</v>
      </c>
      <c r="H131" s="480">
        <f>G131/G12</f>
        <v>0.13156928609081769</v>
      </c>
      <c r="I131" s="479">
        <f>I37-I41-I76-I93-I115-I129</f>
        <v>20300.540684238782</v>
      </c>
      <c r="J131" s="480">
        <f>I131/I12</f>
        <v>0.10515215736823329</v>
      </c>
      <c r="K131" s="481">
        <f>K37-K41-K76-K93-K115-K129</f>
        <v>26865.894236518143</v>
      </c>
      <c r="L131" s="480">
        <f>K131/K12</f>
        <v>0.15215274699987444</v>
      </c>
      <c r="M131" s="481">
        <f>M37-M41-M76-M93-M115-M129</f>
        <v>44806.068231269011</v>
      </c>
      <c r="N131" s="480">
        <f>M131/M12</f>
        <v>0.17895479615217438</v>
      </c>
      <c r="O131" s="481">
        <f>O37-O41-O76-O93-O115-O129</f>
        <v>6341.308172529114</v>
      </c>
      <c r="P131" s="480">
        <f>O131/O12</f>
        <v>4.0004222592919622E-2</v>
      </c>
      <c r="Q131" s="482">
        <f>Q37-Q41-Q76-Q93-Q115-Q129</f>
        <v>9109.770380317761</v>
      </c>
      <c r="R131" s="480">
        <f>Q131/Q12</f>
        <v>4.6281142451398811E-2</v>
      </c>
      <c r="S131" s="482">
        <f>S37-S41-S76-S93-S115-S129</f>
        <v>32827.511460206093</v>
      </c>
      <c r="T131" s="480">
        <f>S131/S12</f>
        <v>0.16555472878288058</v>
      </c>
      <c r="U131" s="482">
        <f>U37-U41-U76-U93-U115-U129</f>
        <v>12073.498555889037</v>
      </c>
      <c r="V131" s="480">
        <f>U131/U12</f>
        <v>7.6762742537733519E-2</v>
      </c>
      <c r="W131" s="482">
        <f>W37-W41-W76-W93-W115-W129</f>
        <v>16085.059542729465</v>
      </c>
      <c r="X131" s="480">
        <f>W131/W12</f>
        <v>0.10051492675788519</v>
      </c>
      <c r="Y131" s="482">
        <f>Y37-Y41-Y76-Y93-Y115-Y129</f>
        <v>47629.93486813402</v>
      </c>
      <c r="Z131" s="480">
        <f>Y131/Y12</f>
        <v>0.19702445927765239</v>
      </c>
      <c r="AA131" s="482">
        <f>AA37-AA41-AA76-AA93-AA115-AA129</f>
        <v>256437.43531714138</v>
      </c>
      <c r="AB131" s="480">
        <f>AA131/AA12</f>
        <v>0.11384212949263116</v>
      </c>
      <c r="AC131" s="483">
        <f t="shared" si="94"/>
        <v>21369.786276428447</v>
      </c>
      <c r="AD131" s="480">
        <f>AC131/AC12</f>
        <v>0.11384212949263114</v>
      </c>
      <c r="AE131" s="161"/>
      <c r="AF131" s="219"/>
      <c r="AG131" s="209"/>
      <c r="AH131" s="21">
        <f t="shared" si="97"/>
        <v>46368.731235817402</v>
      </c>
    </row>
    <row r="132" spans="1:35" s="289" customFormat="1" ht="21.75" customHeight="1" thickTop="1">
      <c r="B132" s="377"/>
      <c r="C132" s="484"/>
      <c r="D132" s="485"/>
      <c r="E132" s="484"/>
      <c r="F132" s="485"/>
      <c r="G132" s="484"/>
      <c r="H132" s="485"/>
      <c r="I132" s="484"/>
      <c r="J132" s="485"/>
      <c r="K132" s="486"/>
      <c r="L132" s="485"/>
      <c r="M132" s="486"/>
      <c r="N132" s="485"/>
      <c r="O132" s="486"/>
      <c r="P132" s="485"/>
      <c r="Q132" s="487"/>
      <c r="R132" s="485"/>
      <c r="S132" s="487"/>
      <c r="T132" s="485"/>
      <c r="U132" s="487"/>
      <c r="V132" s="485"/>
      <c r="W132" s="487"/>
      <c r="X132" s="485"/>
      <c r="Y132" s="487"/>
      <c r="Z132" s="485"/>
      <c r="AA132" s="363"/>
      <c r="AB132" s="363"/>
      <c r="AC132" s="487">
        <f t="shared" si="94"/>
        <v>0</v>
      </c>
      <c r="AD132" s="485"/>
      <c r="AE132" s="134"/>
      <c r="AF132" s="54"/>
      <c r="AH132" s="21">
        <f t="shared" si="97"/>
        <v>0</v>
      </c>
    </row>
    <row r="133" spans="1:35" s="289" customFormat="1" ht="21.75" customHeight="1" thickBot="1">
      <c r="A133" s="158"/>
      <c r="B133" s="376" t="s">
        <v>140</v>
      </c>
      <c r="C133" s="488"/>
      <c r="D133" s="489"/>
      <c r="E133" s="488"/>
      <c r="F133" s="489"/>
      <c r="G133" s="488"/>
      <c r="H133" s="489"/>
      <c r="I133" s="488"/>
      <c r="J133" s="489"/>
      <c r="K133" s="490"/>
      <c r="L133" s="489"/>
      <c r="M133" s="490"/>
      <c r="N133" s="489"/>
      <c r="O133" s="490"/>
      <c r="P133" s="489"/>
      <c r="Q133" s="488"/>
      <c r="R133" s="489"/>
      <c r="S133" s="488"/>
      <c r="T133" s="489"/>
      <c r="U133" s="488"/>
      <c r="V133" s="489"/>
      <c r="W133" s="488"/>
      <c r="X133" s="489"/>
      <c r="Y133" s="488"/>
      <c r="Z133" s="489"/>
      <c r="AA133" s="491">
        <f>C133+E133+G133+I133+K133+M133+O133+Q133+S133+U133+W133+Y133</f>
        <v>0</v>
      </c>
      <c r="AB133" s="489">
        <f>AA133/AA$12</f>
        <v>0</v>
      </c>
      <c r="AC133" s="491">
        <f t="shared" si="94"/>
        <v>0</v>
      </c>
      <c r="AD133" s="489">
        <f>AC133/AC$12</f>
        <v>0</v>
      </c>
      <c r="AE133" s="224"/>
      <c r="AF133" s="219"/>
      <c r="AG133" s="209"/>
      <c r="AH133" s="21">
        <f t="shared" si="97"/>
        <v>0</v>
      </c>
    </row>
    <row r="134" spans="1:35" s="289" customFormat="1" ht="21.75" customHeight="1" thickTop="1">
      <c r="B134" s="379"/>
      <c r="C134" s="484"/>
      <c r="D134" s="485"/>
      <c r="E134" s="484"/>
      <c r="F134" s="485"/>
      <c r="G134" s="484"/>
      <c r="H134" s="485"/>
      <c r="I134" s="484"/>
      <c r="J134" s="485"/>
      <c r="K134" s="486"/>
      <c r="L134" s="485"/>
      <c r="M134" s="486"/>
      <c r="N134" s="485"/>
      <c r="O134" s="486"/>
      <c r="P134" s="485"/>
      <c r="Q134" s="487"/>
      <c r="R134" s="485"/>
      <c r="S134" s="487"/>
      <c r="T134" s="485"/>
      <c r="U134" s="487"/>
      <c r="V134" s="485"/>
      <c r="W134" s="487"/>
      <c r="X134" s="485"/>
      <c r="Y134" s="487"/>
      <c r="Z134" s="485"/>
      <c r="AA134" s="363"/>
      <c r="AB134" s="363"/>
      <c r="AC134" s="487">
        <f t="shared" si="94"/>
        <v>0</v>
      </c>
      <c r="AD134" s="485"/>
      <c r="AE134" s="134"/>
      <c r="AF134" s="54"/>
      <c r="AH134" s="21">
        <f t="shared" si="97"/>
        <v>0</v>
      </c>
    </row>
    <row r="135" spans="1:35" s="289" customFormat="1" ht="21.75" customHeight="1" thickBot="1">
      <c r="A135" s="4"/>
      <c r="B135" s="376" t="s">
        <v>131</v>
      </c>
      <c r="C135" s="419">
        <f>C131-C133</f>
        <v>16095.776591151634</v>
      </c>
      <c r="D135" s="421">
        <f>C135/C12</f>
        <v>9.5005734841733427E-2</v>
      </c>
      <c r="E135" s="419">
        <f>E131-E133</f>
        <v>-4464.3629997840389</v>
      </c>
      <c r="F135" s="421">
        <f>E135/E12</f>
        <v>-3.3870197558448951E-2</v>
      </c>
      <c r="G135" s="419">
        <f>G131-G133</f>
        <v>28766.435593942115</v>
      </c>
      <c r="H135" s="421">
        <f>G135/G12</f>
        <v>0.13156928609081769</v>
      </c>
      <c r="I135" s="419">
        <f>I131-I133</f>
        <v>20300.540684238782</v>
      </c>
      <c r="J135" s="421">
        <f>I135/I12</f>
        <v>0.10515215736823329</v>
      </c>
      <c r="K135" s="442">
        <f>K131-K133</f>
        <v>26865.894236518143</v>
      </c>
      <c r="L135" s="421">
        <f>K135/K12</f>
        <v>0.15215274699987444</v>
      </c>
      <c r="M135" s="442">
        <f>M131-M133</f>
        <v>44806.068231269011</v>
      </c>
      <c r="N135" s="421">
        <f>M135/M12</f>
        <v>0.17895479615217438</v>
      </c>
      <c r="O135" s="442">
        <f>O131-O133</f>
        <v>6341.308172529114</v>
      </c>
      <c r="P135" s="421">
        <f>O135/O12</f>
        <v>4.0004222592919622E-2</v>
      </c>
      <c r="Q135" s="443">
        <f>Q131-Q133</f>
        <v>9109.770380317761</v>
      </c>
      <c r="R135" s="421">
        <f>Q135/Q12</f>
        <v>4.6281142451398811E-2</v>
      </c>
      <c r="S135" s="443">
        <f>S131-S133</f>
        <v>32827.511460206093</v>
      </c>
      <c r="T135" s="421">
        <f>S135/S12</f>
        <v>0.16555472878288058</v>
      </c>
      <c r="U135" s="443">
        <f>U131-U133</f>
        <v>12073.498555889037</v>
      </c>
      <c r="V135" s="421">
        <f>U135/U12</f>
        <v>7.6762742537733519E-2</v>
      </c>
      <c r="W135" s="443">
        <f>W131-W133</f>
        <v>16085.059542729465</v>
      </c>
      <c r="X135" s="421">
        <f>W135/W12</f>
        <v>0.10051492675788519</v>
      </c>
      <c r="Y135" s="443">
        <f>Y131-Y133</f>
        <v>47629.93486813402</v>
      </c>
      <c r="Z135" s="421">
        <f>Y135/Y12</f>
        <v>0.19702445927765239</v>
      </c>
      <c r="AA135" s="443">
        <f>AA131-AA133</f>
        <v>256437.43531714138</v>
      </c>
      <c r="AB135" s="492">
        <f>AA135/AA12</f>
        <v>0.11384212949263116</v>
      </c>
      <c r="AC135" s="443">
        <f t="shared" si="94"/>
        <v>21369.786276428447</v>
      </c>
      <c r="AD135" s="421">
        <f>AC135/AC12</f>
        <v>0.11384212949263114</v>
      </c>
      <c r="AE135" s="225"/>
      <c r="AF135" s="219"/>
      <c r="AG135" s="209"/>
      <c r="AH135" s="21">
        <f t="shared" si="97"/>
        <v>46368.731235817402</v>
      </c>
    </row>
    <row r="136" spans="1:35" s="289" customFormat="1" ht="21.75" customHeight="1" thickTop="1">
      <c r="A136" s="20">
        <v>6501</v>
      </c>
      <c r="B136" s="378"/>
      <c r="C136" s="440"/>
      <c r="D136" s="415">
        <f t="shared" ref="D136:D143" si="139">C136/C$12</f>
        <v>0</v>
      </c>
      <c r="E136" s="440"/>
      <c r="F136" s="415">
        <f t="shared" ref="F136:F143" si="140">E136/E$12</f>
        <v>0</v>
      </c>
      <c r="G136" s="440"/>
      <c r="H136" s="415">
        <f t="shared" ref="H136:H143" si="141">G136/G$12</f>
        <v>0</v>
      </c>
      <c r="I136" s="440"/>
      <c r="J136" s="415">
        <f t="shared" ref="J136:J143" si="142">I136/I$12</f>
        <v>0</v>
      </c>
      <c r="K136" s="441"/>
      <c r="L136" s="415">
        <f t="shared" ref="L136:L143" si="143">K136/K$12</f>
        <v>0</v>
      </c>
      <c r="M136" s="441"/>
      <c r="N136" s="415">
        <f t="shared" ref="N136:N143" si="144">M136/M$12</f>
        <v>0</v>
      </c>
      <c r="O136" s="441"/>
      <c r="P136" s="415">
        <f t="shared" ref="P136:P143" si="145">O136/O$12</f>
        <v>0</v>
      </c>
      <c r="Q136" s="478"/>
      <c r="R136" s="415">
        <f t="shared" ref="R136:R143" si="146">Q136/Q$12</f>
        <v>0</v>
      </c>
      <c r="S136" s="478"/>
      <c r="T136" s="415">
        <f t="shared" ref="T136:T146" si="147">S136/S$12</f>
        <v>0</v>
      </c>
      <c r="U136" s="478"/>
      <c r="V136" s="415">
        <f t="shared" ref="V136:V143" si="148">U136/U$12</f>
        <v>0</v>
      </c>
      <c r="W136" s="478"/>
      <c r="X136" s="415">
        <f t="shared" ref="X136:X143" si="149">W136/W$12</f>
        <v>0</v>
      </c>
      <c r="Y136" s="478"/>
      <c r="Z136" s="415">
        <f t="shared" ref="Z136:Z146" si="150">Y136/Y$12</f>
        <v>0</v>
      </c>
      <c r="AA136" s="405">
        <f t="shared" ref="AA136:AA143" si="151">C136+E136+G136+I136+K136+M136+O136+Q136+S136+U136+W136+Y136</f>
        <v>0</v>
      </c>
      <c r="AB136" s="416">
        <f t="shared" ref="AB136:AB146" si="152">AA136/AA$12</f>
        <v>0</v>
      </c>
      <c r="AC136" s="476">
        <f t="shared" si="94"/>
        <v>0</v>
      </c>
      <c r="AD136" s="417">
        <f t="shared" ref="AD136:AD146" si="153">AC136/AC$12</f>
        <v>0</v>
      </c>
      <c r="AE136" s="214"/>
      <c r="AF136" s="54"/>
      <c r="AH136" s="21">
        <f t="shared" si="97"/>
        <v>0</v>
      </c>
    </row>
    <row r="137" spans="1:35" s="289" customFormat="1" ht="21.75" customHeight="1">
      <c r="A137" s="2">
        <v>6502</v>
      </c>
      <c r="B137" s="378" t="s">
        <v>127</v>
      </c>
      <c r="C137" s="493">
        <v>15353.52</v>
      </c>
      <c r="D137" s="415">
        <f t="shared" si="139"/>
        <v>9.0624546243337531E-2</v>
      </c>
      <c r="E137" s="493">
        <v>15353.52</v>
      </c>
      <c r="F137" s="415">
        <f t="shared" si="140"/>
        <v>0.11648397669337218</v>
      </c>
      <c r="G137" s="493">
        <v>15353.52</v>
      </c>
      <c r="H137" s="415">
        <f t="shared" si="141"/>
        <v>7.0222522313695732E-2</v>
      </c>
      <c r="I137" s="493">
        <v>15353.52</v>
      </c>
      <c r="J137" s="415">
        <f t="shared" si="142"/>
        <v>7.9527721764069609E-2</v>
      </c>
      <c r="K137" s="493">
        <v>15353.52</v>
      </c>
      <c r="L137" s="415">
        <f t="shared" si="143"/>
        <v>8.6953377525849723E-2</v>
      </c>
      <c r="M137" s="493">
        <v>15353.52</v>
      </c>
      <c r="N137" s="415">
        <f t="shared" si="144"/>
        <v>6.1321739449141446E-2</v>
      </c>
      <c r="O137" s="493">
        <v>15353.52</v>
      </c>
      <c r="P137" s="415">
        <f t="shared" si="145"/>
        <v>9.6857874582663386E-2</v>
      </c>
      <c r="Q137" s="493">
        <v>15353.52</v>
      </c>
      <c r="R137" s="415">
        <f t="shared" si="146"/>
        <v>7.8001795499220344E-2</v>
      </c>
      <c r="S137" s="493">
        <v>15353.52</v>
      </c>
      <c r="T137" s="415">
        <f t="shared" si="147"/>
        <v>7.7430415112147363E-2</v>
      </c>
      <c r="U137" s="493">
        <v>15353.52</v>
      </c>
      <c r="V137" s="415">
        <f t="shared" si="148"/>
        <v>9.7616966395632901E-2</v>
      </c>
      <c r="W137" s="493">
        <v>15353.52</v>
      </c>
      <c r="X137" s="415">
        <f t="shared" si="149"/>
        <v>9.5943563912592816E-2</v>
      </c>
      <c r="Y137" s="493">
        <v>15353.52</v>
      </c>
      <c r="Z137" s="415">
        <f t="shared" si="150"/>
        <v>6.3510877862494375E-2</v>
      </c>
      <c r="AA137" s="405">
        <f t="shared" si="151"/>
        <v>184242.24</v>
      </c>
      <c r="AB137" s="416">
        <f t="shared" si="152"/>
        <v>8.1791993115797629E-2</v>
      </c>
      <c r="AC137" s="476">
        <f t="shared" si="94"/>
        <v>15353.519999999999</v>
      </c>
      <c r="AD137" s="417">
        <f t="shared" si="153"/>
        <v>8.1791993115797615E-2</v>
      </c>
      <c r="AE137" s="214" t="s">
        <v>148</v>
      </c>
      <c r="AF137" s="54"/>
      <c r="AG137" s="289" t="s">
        <v>148</v>
      </c>
      <c r="AH137" s="21">
        <f t="shared" si="97"/>
        <v>78149.416800000006</v>
      </c>
    </row>
    <row r="138" spans="1:35" s="289" customFormat="1" ht="21.75" customHeight="1">
      <c r="A138" s="2">
        <v>6503</v>
      </c>
      <c r="B138" s="378" t="s">
        <v>128</v>
      </c>
      <c r="C138" s="493">
        <v>1502.09</v>
      </c>
      <c r="D138" s="415">
        <f t="shared" si="139"/>
        <v>8.8661248148082551E-3</v>
      </c>
      <c r="E138" s="493">
        <v>1502.09</v>
      </c>
      <c r="F138" s="415">
        <f t="shared" si="140"/>
        <v>1.1396045763534838E-2</v>
      </c>
      <c r="G138" s="493">
        <v>1502.09</v>
      </c>
      <c r="H138" s="415">
        <f t="shared" si="141"/>
        <v>6.8701215449082174E-3</v>
      </c>
      <c r="I138" s="493">
        <v>1502.09</v>
      </c>
      <c r="J138" s="415">
        <f t="shared" si="142"/>
        <v>7.7804826244790327E-3</v>
      </c>
      <c r="K138" s="493">
        <v>1502.09</v>
      </c>
      <c r="L138" s="415">
        <f t="shared" si="143"/>
        <v>8.5069611950747189E-3</v>
      </c>
      <c r="M138" s="493">
        <v>1502.09</v>
      </c>
      <c r="N138" s="415">
        <f t="shared" si="144"/>
        <v>5.9993259922910755E-3</v>
      </c>
      <c r="O138" s="493">
        <v>1502.09</v>
      </c>
      <c r="P138" s="415">
        <f t="shared" si="145"/>
        <v>9.4759537117138498E-3</v>
      </c>
      <c r="Q138" s="493">
        <v>1502.09</v>
      </c>
      <c r="R138" s="415">
        <f t="shared" si="146"/>
        <v>7.631195777999044E-3</v>
      </c>
      <c r="S138" s="493">
        <v>1502.09</v>
      </c>
      <c r="T138" s="415">
        <f t="shared" si="147"/>
        <v>7.5752955827592255E-3</v>
      </c>
      <c r="U138" s="493">
        <v>1502.09</v>
      </c>
      <c r="V138" s="415">
        <f t="shared" si="148"/>
        <v>9.5502183898686557E-3</v>
      </c>
      <c r="W138" s="493">
        <v>1502.09</v>
      </c>
      <c r="X138" s="415">
        <f t="shared" si="149"/>
        <v>9.3865034153384069E-3</v>
      </c>
      <c r="Y138" s="493">
        <v>1502.09</v>
      </c>
      <c r="Z138" s="415">
        <f t="shared" si="150"/>
        <v>6.2134972650228848E-3</v>
      </c>
      <c r="AA138" s="405">
        <f t="shared" si="151"/>
        <v>18025.079999999998</v>
      </c>
      <c r="AB138" s="416">
        <f t="shared" si="152"/>
        <v>8.0020044223935907E-3</v>
      </c>
      <c r="AC138" s="476">
        <f t="shared" si="94"/>
        <v>1502.09</v>
      </c>
      <c r="AD138" s="417">
        <f t="shared" si="153"/>
        <v>8.0020044223935907E-3</v>
      </c>
      <c r="AE138" s="214" t="s">
        <v>148</v>
      </c>
      <c r="AF138" s="54"/>
      <c r="AG138" s="289" t="s">
        <v>148</v>
      </c>
      <c r="AH138" s="21">
        <f t="shared" si="97"/>
        <v>7645.6380999999992</v>
      </c>
      <c r="AI138" s="64">
        <f>AH137+AH138</f>
        <v>85795.054900000003</v>
      </c>
    </row>
    <row r="139" spans="1:35" s="289" customFormat="1" ht="21.75" customHeight="1">
      <c r="A139" s="2">
        <v>6504</v>
      </c>
      <c r="B139" s="378" t="s">
        <v>129</v>
      </c>
      <c r="C139" s="494"/>
      <c r="D139" s="415">
        <f t="shared" si="139"/>
        <v>0</v>
      </c>
      <c r="E139" s="494"/>
      <c r="F139" s="415">
        <f t="shared" si="140"/>
        <v>0</v>
      </c>
      <c r="G139" s="494"/>
      <c r="H139" s="415">
        <f t="shared" si="141"/>
        <v>0</v>
      </c>
      <c r="I139" s="494"/>
      <c r="J139" s="415">
        <f t="shared" si="142"/>
        <v>0</v>
      </c>
      <c r="K139" s="494"/>
      <c r="L139" s="415">
        <f t="shared" si="143"/>
        <v>0</v>
      </c>
      <c r="M139" s="494"/>
      <c r="N139" s="415">
        <f t="shared" si="144"/>
        <v>0</v>
      </c>
      <c r="O139" s="494"/>
      <c r="P139" s="415">
        <f t="shared" si="145"/>
        <v>0</v>
      </c>
      <c r="Q139" s="494"/>
      <c r="R139" s="415">
        <f t="shared" si="146"/>
        <v>0</v>
      </c>
      <c r="S139" s="494"/>
      <c r="T139" s="415">
        <f t="shared" si="147"/>
        <v>0</v>
      </c>
      <c r="U139" s="494"/>
      <c r="V139" s="415">
        <f t="shared" si="148"/>
        <v>0</v>
      </c>
      <c r="W139" s="494"/>
      <c r="X139" s="415">
        <f t="shared" si="149"/>
        <v>0</v>
      </c>
      <c r="Y139" s="494"/>
      <c r="Z139" s="415">
        <f t="shared" si="150"/>
        <v>0</v>
      </c>
      <c r="AA139" s="405">
        <f t="shared" si="151"/>
        <v>0</v>
      </c>
      <c r="AB139" s="416">
        <f t="shared" si="152"/>
        <v>0</v>
      </c>
      <c r="AC139" s="407">
        <f t="shared" si="94"/>
        <v>0</v>
      </c>
      <c r="AD139" s="417">
        <f t="shared" si="153"/>
        <v>0</v>
      </c>
      <c r="AE139" s="214" t="s">
        <v>148</v>
      </c>
      <c r="AF139" s="54"/>
      <c r="AG139" s="289" t="s">
        <v>148</v>
      </c>
      <c r="AH139" s="21">
        <f t="shared" si="97"/>
        <v>0</v>
      </c>
    </row>
    <row r="140" spans="1:35" s="289" customFormat="1" ht="21.75" customHeight="1">
      <c r="A140" s="2">
        <v>6505</v>
      </c>
      <c r="B140" s="371" t="s">
        <v>130</v>
      </c>
      <c r="C140" s="494"/>
      <c r="D140" s="415">
        <f t="shared" si="139"/>
        <v>0</v>
      </c>
      <c r="E140" s="495"/>
      <c r="F140" s="415">
        <f t="shared" si="140"/>
        <v>0</v>
      </c>
      <c r="G140" s="495"/>
      <c r="H140" s="415">
        <f t="shared" si="141"/>
        <v>0</v>
      </c>
      <c r="I140" s="495"/>
      <c r="J140" s="415">
        <f t="shared" si="142"/>
        <v>0</v>
      </c>
      <c r="K140" s="496"/>
      <c r="L140" s="415">
        <f t="shared" si="143"/>
        <v>0</v>
      </c>
      <c r="M140" s="496"/>
      <c r="N140" s="415">
        <f t="shared" si="144"/>
        <v>0</v>
      </c>
      <c r="O140" s="496"/>
      <c r="P140" s="415">
        <f t="shared" si="145"/>
        <v>0</v>
      </c>
      <c r="Q140" s="497"/>
      <c r="R140" s="415">
        <f t="shared" si="146"/>
        <v>0</v>
      </c>
      <c r="S140" s="497"/>
      <c r="T140" s="415">
        <f t="shared" si="147"/>
        <v>0</v>
      </c>
      <c r="U140" s="497"/>
      <c r="V140" s="415">
        <f t="shared" si="148"/>
        <v>0</v>
      </c>
      <c r="W140" s="497"/>
      <c r="X140" s="415">
        <f t="shared" si="149"/>
        <v>0</v>
      </c>
      <c r="Y140" s="497"/>
      <c r="Z140" s="415">
        <f t="shared" si="150"/>
        <v>0</v>
      </c>
      <c r="AA140" s="405">
        <f t="shared" si="151"/>
        <v>0</v>
      </c>
      <c r="AB140" s="416">
        <f t="shared" si="152"/>
        <v>0</v>
      </c>
      <c r="AC140" s="407">
        <f t="shared" si="94"/>
        <v>0</v>
      </c>
      <c r="AD140" s="417">
        <f t="shared" si="153"/>
        <v>0</v>
      </c>
      <c r="AE140" s="214"/>
      <c r="AF140" s="54"/>
      <c r="AH140" s="21">
        <f t="shared" si="97"/>
        <v>0</v>
      </c>
    </row>
    <row r="141" spans="1:35" s="289" customFormat="1" ht="21.75" customHeight="1">
      <c r="A141" s="2">
        <v>6506</v>
      </c>
      <c r="B141" s="371" t="s">
        <v>202</v>
      </c>
      <c r="C141" s="496"/>
      <c r="D141" s="499">
        <f>C141/C12</f>
        <v>0</v>
      </c>
      <c r="E141" s="496"/>
      <c r="F141" s="499">
        <f>E141/E12</f>
        <v>0</v>
      </c>
      <c r="G141" s="496"/>
      <c r="H141" s="499">
        <f>G141/G12</f>
        <v>0</v>
      </c>
      <c r="I141" s="496"/>
      <c r="J141" s="499">
        <f>I141/I12</f>
        <v>0</v>
      </c>
      <c r="K141" s="496"/>
      <c r="L141" s="499">
        <f>K141/K12</f>
        <v>0</v>
      </c>
      <c r="M141" s="496"/>
      <c r="N141" s="499">
        <f>M141/M12</f>
        <v>0</v>
      </c>
      <c r="O141" s="496"/>
      <c r="P141" s="499">
        <f>O141/O12</f>
        <v>0</v>
      </c>
      <c r="Q141" s="496"/>
      <c r="R141" s="499">
        <f>Q141/Q12</f>
        <v>0</v>
      </c>
      <c r="S141" s="496"/>
      <c r="T141" s="499">
        <f>S141/S12</f>
        <v>0</v>
      </c>
      <c r="U141" s="496"/>
      <c r="V141" s="499">
        <f>U141/U12</f>
        <v>0</v>
      </c>
      <c r="W141" s="496"/>
      <c r="X141" s="499">
        <f>W141/W12</f>
        <v>0</v>
      </c>
      <c r="Y141" s="496"/>
      <c r="Z141" s="499">
        <f>Y141/Y12</f>
        <v>0</v>
      </c>
      <c r="AA141" s="405">
        <f t="shared" si="151"/>
        <v>0</v>
      </c>
      <c r="AB141" s="416">
        <f t="shared" si="152"/>
        <v>0</v>
      </c>
      <c r="AC141" s="407">
        <f t="shared" si="94"/>
        <v>0</v>
      </c>
      <c r="AD141" s="417">
        <f t="shared" si="153"/>
        <v>0</v>
      </c>
      <c r="AF141" s="64"/>
      <c r="AH141" s="21">
        <f t="shared" si="97"/>
        <v>0</v>
      </c>
    </row>
    <row r="142" spans="1:35" s="289" customFormat="1" ht="21.75" customHeight="1">
      <c r="A142" s="128">
        <v>6604</v>
      </c>
      <c r="B142" s="371" t="s">
        <v>136</v>
      </c>
      <c r="C142" s="418"/>
      <c r="D142" s="415">
        <f t="shared" si="139"/>
        <v>0</v>
      </c>
      <c r="E142" s="418"/>
      <c r="F142" s="415">
        <f t="shared" si="140"/>
        <v>0</v>
      </c>
      <c r="G142" s="418"/>
      <c r="H142" s="415">
        <f t="shared" si="141"/>
        <v>0</v>
      </c>
      <c r="I142" s="418"/>
      <c r="J142" s="415">
        <f t="shared" si="142"/>
        <v>0</v>
      </c>
      <c r="K142" s="418"/>
      <c r="L142" s="415">
        <f t="shared" si="143"/>
        <v>0</v>
      </c>
      <c r="M142" s="418"/>
      <c r="N142" s="415">
        <f t="shared" si="144"/>
        <v>0</v>
      </c>
      <c r="O142" s="418"/>
      <c r="P142" s="415">
        <f t="shared" si="145"/>
        <v>0</v>
      </c>
      <c r="Q142" s="418"/>
      <c r="R142" s="415">
        <f t="shared" si="146"/>
        <v>0</v>
      </c>
      <c r="S142" s="418"/>
      <c r="T142" s="415">
        <f t="shared" si="147"/>
        <v>0</v>
      </c>
      <c r="U142" s="418"/>
      <c r="V142" s="415">
        <f t="shared" si="148"/>
        <v>0</v>
      </c>
      <c r="W142" s="418"/>
      <c r="X142" s="415">
        <f t="shared" si="149"/>
        <v>0</v>
      </c>
      <c r="Y142" s="418"/>
      <c r="Z142" s="415">
        <f t="shared" si="150"/>
        <v>0</v>
      </c>
      <c r="AA142" s="405">
        <f t="shared" si="151"/>
        <v>0</v>
      </c>
      <c r="AB142" s="416">
        <f t="shared" si="152"/>
        <v>0</v>
      </c>
      <c r="AC142" s="407">
        <f t="shared" si="94"/>
        <v>0</v>
      </c>
      <c r="AD142" s="417">
        <f t="shared" si="153"/>
        <v>0</v>
      </c>
      <c r="AE142" s="214"/>
      <c r="AF142" s="54"/>
      <c r="AH142" s="21">
        <f t="shared" si="97"/>
        <v>0</v>
      </c>
    </row>
    <row r="143" spans="1:35" s="289" customFormat="1" ht="21.75" customHeight="1">
      <c r="A143" s="2"/>
      <c r="B143" s="371" t="s">
        <v>217</v>
      </c>
      <c r="C143" s="418"/>
      <c r="D143" s="415">
        <f t="shared" si="139"/>
        <v>0</v>
      </c>
      <c r="E143" s="418"/>
      <c r="F143" s="415">
        <f t="shared" si="140"/>
        <v>0</v>
      </c>
      <c r="G143" s="418"/>
      <c r="H143" s="415">
        <f t="shared" si="141"/>
        <v>0</v>
      </c>
      <c r="I143" s="418"/>
      <c r="J143" s="415">
        <f t="shared" si="142"/>
        <v>0</v>
      </c>
      <c r="K143" s="397"/>
      <c r="L143" s="415">
        <f t="shared" si="143"/>
        <v>0</v>
      </c>
      <c r="M143" s="397"/>
      <c r="N143" s="415">
        <f t="shared" si="144"/>
        <v>0</v>
      </c>
      <c r="O143" s="397"/>
      <c r="P143" s="415">
        <f t="shared" si="145"/>
        <v>0</v>
      </c>
      <c r="Q143" s="412"/>
      <c r="R143" s="415">
        <f t="shared" si="146"/>
        <v>0</v>
      </c>
      <c r="S143" s="412"/>
      <c r="T143" s="415">
        <f t="shared" si="147"/>
        <v>0</v>
      </c>
      <c r="U143" s="412"/>
      <c r="V143" s="415">
        <f t="shared" si="148"/>
        <v>0</v>
      </c>
      <c r="W143" s="412"/>
      <c r="X143" s="415">
        <f t="shared" si="149"/>
        <v>0</v>
      </c>
      <c r="Y143" s="412"/>
      <c r="Z143" s="500">
        <f t="shared" si="150"/>
        <v>0</v>
      </c>
      <c r="AA143" s="405">
        <f t="shared" si="151"/>
        <v>0</v>
      </c>
      <c r="AB143" s="416">
        <f t="shared" si="152"/>
        <v>0</v>
      </c>
      <c r="AC143" s="407">
        <f t="shared" si="94"/>
        <v>0</v>
      </c>
      <c r="AD143" s="417">
        <f t="shared" si="153"/>
        <v>0</v>
      </c>
      <c r="AE143" s="214"/>
      <c r="AF143" s="54"/>
      <c r="AH143" s="21">
        <f t="shared" si="97"/>
        <v>0</v>
      </c>
    </row>
    <row r="144" spans="1:35" s="289" customFormat="1" ht="21.75" customHeight="1">
      <c r="A144" s="48">
        <v>6798</v>
      </c>
      <c r="B144" s="381" t="s">
        <v>188</v>
      </c>
      <c r="C144" s="444">
        <f>SUM(C136:C143)</f>
        <v>16855.61</v>
      </c>
      <c r="D144" s="445">
        <f>C144/C12</f>
        <v>9.9490671058145783E-2</v>
      </c>
      <c r="E144" s="444">
        <f>SUM(E136:E143)</f>
        <v>16855.61</v>
      </c>
      <c r="F144" s="445">
        <f>E144/E12</f>
        <v>0.12788002245690702</v>
      </c>
      <c r="G144" s="444">
        <f>SUM(G136:G143)</f>
        <v>16855.61</v>
      </c>
      <c r="H144" s="445">
        <f>G144/G12</f>
        <v>7.7092643858603954E-2</v>
      </c>
      <c r="I144" s="444">
        <f>SUM(I136:I143)</f>
        <v>16855.61</v>
      </c>
      <c r="J144" s="445">
        <f>I144/I12</f>
        <v>8.7308204388548652E-2</v>
      </c>
      <c r="K144" s="444">
        <f>SUM(K136:K143)</f>
        <v>16855.61</v>
      </c>
      <c r="L144" s="445">
        <f>K144/K12</f>
        <v>9.5460338720924451E-2</v>
      </c>
      <c r="M144" s="444">
        <f>SUM(M136:M143)</f>
        <v>16855.61</v>
      </c>
      <c r="N144" s="445">
        <f>M144/M12</f>
        <v>6.7321065441432529E-2</v>
      </c>
      <c r="O144" s="444">
        <f>SUM(O136:O143)</f>
        <v>16855.61</v>
      </c>
      <c r="P144" s="445">
        <f>O144/O12</f>
        <v>0.10633382829437724</v>
      </c>
      <c r="Q144" s="444">
        <f>SUM(Q136:Q143)</f>
        <v>16855.61</v>
      </c>
      <c r="R144" s="445">
        <f>Q144/Q12</f>
        <v>8.5632991277219392E-2</v>
      </c>
      <c r="S144" s="444">
        <f>SUM(S136:S143)</f>
        <v>16855.61</v>
      </c>
      <c r="T144" s="445">
        <f t="shared" si="147"/>
        <v>8.5005710694906589E-2</v>
      </c>
      <c r="U144" s="444">
        <f>SUM(U136:U143)</f>
        <v>16855.61</v>
      </c>
      <c r="V144" s="445">
        <f>U144/U12</f>
        <v>0.10716718478550155</v>
      </c>
      <c r="W144" s="444">
        <f>SUM(W136:W143)</f>
        <v>16855.61</v>
      </c>
      <c r="X144" s="445">
        <f>W144/W12</f>
        <v>0.10533006732793124</v>
      </c>
      <c r="Y144" s="444">
        <f>SUM(Y136:Y143)</f>
        <v>16855.61</v>
      </c>
      <c r="Z144" s="445">
        <f t="shared" si="150"/>
        <v>6.9724375127517252E-2</v>
      </c>
      <c r="AA144" s="448">
        <f>SUM(AA136:AA143)</f>
        <v>202267.31999999998</v>
      </c>
      <c r="AB144" s="449">
        <f t="shared" si="152"/>
        <v>8.9793997538191214E-2</v>
      </c>
      <c r="AC144" s="450">
        <f t="shared" ref="AC144:AC152" si="154">AA144/12</f>
        <v>16855.609999999997</v>
      </c>
      <c r="AD144" s="451">
        <f t="shared" si="153"/>
        <v>8.97939975381912E-2</v>
      </c>
      <c r="AE144" s="215"/>
      <c r="AF144" s="54"/>
      <c r="AH144" s="21">
        <f t="shared" si="97"/>
        <v>85795.054900000003</v>
      </c>
    </row>
    <row r="145" spans="1:34" s="289" customFormat="1" ht="21.75" customHeight="1">
      <c r="A145" s="48">
        <v>6799</v>
      </c>
      <c r="B145" s="381" t="s">
        <v>126</v>
      </c>
      <c r="C145" s="444">
        <f>C41+C76+C93+C115+C129+C144+C133</f>
        <v>82828.874108848366</v>
      </c>
      <c r="D145" s="445">
        <f>C145/C12</f>
        <v>0.48889955736280089</v>
      </c>
      <c r="E145" s="444">
        <f>E41+E76+E93+E115+E129+E144+E133</f>
        <v>84885.960199784036</v>
      </c>
      <c r="F145" s="445">
        <f>E145/E12</f>
        <v>0.64401220107872081</v>
      </c>
      <c r="G145" s="444">
        <f>G41+G76+G93+G115+G129+G144+G133</f>
        <v>84359.839698501382</v>
      </c>
      <c r="H145" s="445">
        <f>G145/G12</f>
        <v>0.3858373015183364</v>
      </c>
      <c r="I145" s="444">
        <f>I41+I76+I93+I115+I129+I144+I133</f>
        <v>87258.501951931627</v>
      </c>
      <c r="J145" s="445">
        <f>I145/I12</f>
        <v>0.45197908133006265</v>
      </c>
      <c r="K145" s="446">
        <f>K41+K76+K93+K115+K129+K144+K133</f>
        <v>85718.238222503845</v>
      </c>
      <c r="L145" s="445">
        <f>K145/K12</f>
        <v>0.48545807925557777</v>
      </c>
      <c r="M145" s="446">
        <f>M41+M76+M93+M115+M129+M144+M133</f>
        <v>85495.341342833359</v>
      </c>
      <c r="N145" s="445">
        <f>M145/M12</f>
        <v>0.34146717143304195</v>
      </c>
      <c r="O145" s="446">
        <f>O41+O76+O93+O115+O129+O144+O133</f>
        <v>85247.246340257232</v>
      </c>
      <c r="P145" s="445">
        <f>O145/O12</f>
        <v>0.53778332880942248</v>
      </c>
      <c r="Q145" s="447">
        <f>Q41+Q76+Q93+Q115+Q129+Q144+Q133</f>
        <v>89656.546646150353</v>
      </c>
      <c r="R145" s="445">
        <f>Q145/Q12</f>
        <v>0.45548979104852366</v>
      </c>
      <c r="S145" s="447">
        <f>S41+S76+S93+S115+S129+S144+S133</f>
        <v>86373.151375368296</v>
      </c>
      <c r="T145" s="445">
        <f t="shared" si="147"/>
        <v>0.4355945063763299</v>
      </c>
      <c r="U145" s="447">
        <f>U41+U76+U93+U115+U129+U144+U133</f>
        <v>86734.00147332772</v>
      </c>
      <c r="V145" s="445">
        <f>U145/U12</f>
        <v>0.55145074922106507</v>
      </c>
      <c r="W145" s="447">
        <f>W41+W76+W93+W115+W129+W144+W133</f>
        <v>85258.606381459176</v>
      </c>
      <c r="X145" s="445">
        <f>W145/W12</f>
        <v>0.53277779626158184</v>
      </c>
      <c r="Y145" s="447">
        <f>Y41+Y76+Y93+Y115+Y129+Y144+Y133</f>
        <v>86105.060996948814</v>
      </c>
      <c r="Z145" s="445">
        <f t="shared" si="150"/>
        <v>0.35617943066605207</v>
      </c>
      <c r="AA145" s="447">
        <f>AA41+AA76+AA93+AA115+AA129+AA144+AA133</f>
        <v>1029921.3687379139</v>
      </c>
      <c r="AB145" s="449">
        <f t="shared" si="152"/>
        <v>0.45722045879177503</v>
      </c>
      <c r="AC145" s="447">
        <f t="shared" si="154"/>
        <v>85826.780728159487</v>
      </c>
      <c r="AD145" s="451">
        <f t="shared" si="153"/>
        <v>0.45722045879177498</v>
      </c>
      <c r="AE145" s="215"/>
      <c r="AF145" s="54"/>
      <c r="AH145" s="21">
        <f t="shared" si="97"/>
        <v>456351.82242890529</v>
      </c>
    </row>
    <row r="146" spans="1:34" s="289" customFormat="1" ht="21.75" customHeight="1" thickBot="1">
      <c r="A146" s="11">
        <v>6999</v>
      </c>
      <c r="B146" s="382" t="s">
        <v>135</v>
      </c>
      <c r="C146" s="452">
        <f>C135-C144</f>
        <v>-759.83340884836616</v>
      </c>
      <c r="D146" s="454">
        <f>C146/C12</f>
        <v>-4.484936216412363E-3</v>
      </c>
      <c r="E146" s="452">
        <f>E135-E144</f>
        <v>-21319.97299978404</v>
      </c>
      <c r="F146" s="454">
        <f>E146/E12</f>
        <v>-0.16175022001535597</v>
      </c>
      <c r="G146" s="452">
        <f>G135-G144</f>
        <v>11910.825593942114</v>
      </c>
      <c r="H146" s="454">
        <f>G146/G12</f>
        <v>5.447664223221374E-2</v>
      </c>
      <c r="I146" s="452">
        <f>I135-I144</f>
        <v>3444.9306842387814</v>
      </c>
      <c r="J146" s="454">
        <f>I146/I12</f>
        <v>1.7843952979684642E-2</v>
      </c>
      <c r="K146" s="455">
        <f>K135-K144</f>
        <v>10010.284236518142</v>
      </c>
      <c r="L146" s="454">
        <f>K146/K12</f>
        <v>5.6692408278950002E-2</v>
      </c>
      <c r="M146" s="455">
        <f>M135-M144</f>
        <v>27950.458231269011</v>
      </c>
      <c r="N146" s="454">
        <f>M146/M12</f>
        <v>0.11163373071074184</v>
      </c>
      <c r="O146" s="455">
        <f>O135-O144</f>
        <v>-10514.301827470887</v>
      </c>
      <c r="P146" s="454">
        <f>O146/O12</f>
        <v>-6.6329605701457614E-2</v>
      </c>
      <c r="Q146" s="456">
        <f>Q135-Q144</f>
        <v>-7745.8396196822396</v>
      </c>
      <c r="R146" s="454">
        <f>Q146/Q12</f>
        <v>-3.9351848825820573E-2</v>
      </c>
      <c r="S146" s="456">
        <f>S135-S144</f>
        <v>15971.901460206092</v>
      </c>
      <c r="T146" s="454">
        <f t="shared" si="147"/>
        <v>8.0549018087973975E-2</v>
      </c>
      <c r="U146" s="456">
        <f>U135-U144</f>
        <v>-4782.1114441109639</v>
      </c>
      <c r="V146" s="454">
        <f>U146/U12</f>
        <v>-3.0404442247768036E-2</v>
      </c>
      <c r="W146" s="456">
        <f>W135-W144</f>
        <v>-770.55045727053584</v>
      </c>
      <c r="X146" s="454">
        <f>W146/W12</f>
        <v>-4.8151405700460398E-3</v>
      </c>
      <c r="Y146" s="456">
        <f>Y135-Y144</f>
        <v>30774.324868134019</v>
      </c>
      <c r="Z146" s="454">
        <f t="shared" si="150"/>
        <v>0.12730008415013513</v>
      </c>
      <c r="AA146" s="422">
        <f>AA135-AA144</f>
        <v>54170.115317141404</v>
      </c>
      <c r="AB146" s="423">
        <f t="shared" si="152"/>
        <v>2.4048131954439944E-2</v>
      </c>
      <c r="AC146" s="424">
        <f t="shared" si="154"/>
        <v>4514.1762764284504</v>
      </c>
      <c r="AD146" s="425">
        <f t="shared" si="153"/>
        <v>2.4048131954439944E-2</v>
      </c>
      <c r="AE146" s="218"/>
      <c r="AF146" s="219"/>
      <c r="AG146" s="209"/>
      <c r="AH146" s="21">
        <f t="shared" si="97"/>
        <v>-39426.323664182601</v>
      </c>
    </row>
    <row r="147" spans="1:34" s="289" customFormat="1" ht="21.75" customHeight="1" thickTop="1">
      <c r="B147" s="363"/>
      <c r="C147" s="495"/>
      <c r="D147" s="501"/>
      <c r="E147" s="495"/>
      <c r="F147" s="502"/>
      <c r="G147" s="495"/>
      <c r="H147" s="502"/>
      <c r="I147" s="495"/>
      <c r="J147" s="502"/>
      <c r="K147" s="496"/>
      <c r="L147" s="502"/>
      <c r="M147" s="496"/>
      <c r="N147" s="502"/>
      <c r="O147" s="496"/>
      <c r="P147" s="502"/>
      <c r="Q147" s="498"/>
      <c r="R147" s="502"/>
      <c r="S147" s="498"/>
      <c r="T147" s="502"/>
      <c r="U147" s="498"/>
      <c r="V147" s="502"/>
      <c r="W147" s="498"/>
      <c r="X147" s="502"/>
      <c r="Y147" s="498"/>
      <c r="Z147" s="502"/>
      <c r="AA147" s="503"/>
      <c r="AB147" s="413"/>
      <c r="AC147" s="504">
        <f t="shared" si="154"/>
        <v>0</v>
      </c>
      <c r="AD147" s="414"/>
      <c r="AE147" s="213"/>
      <c r="AF147" s="54"/>
      <c r="AH147" s="21">
        <f t="shared" si="97"/>
        <v>0</v>
      </c>
    </row>
    <row r="148" spans="1:34" s="289" customFormat="1" ht="21.75" customHeight="1" thickBot="1">
      <c r="A148" s="140"/>
      <c r="B148" s="382" t="s">
        <v>192</v>
      </c>
      <c r="C148" s="505">
        <v>0</v>
      </c>
      <c r="D148" s="506">
        <f>C148/C12</f>
        <v>0</v>
      </c>
      <c r="E148" s="505">
        <v>0</v>
      </c>
      <c r="F148" s="506">
        <f>E148/E12</f>
        <v>0</v>
      </c>
      <c r="G148" s="505">
        <v>0</v>
      </c>
      <c r="H148" s="506">
        <f>G148/G12</f>
        <v>0</v>
      </c>
      <c r="I148" s="505">
        <v>0</v>
      </c>
      <c r="J148" s="506">
        <f>I148/I12</f>
        <v>0</v>
      </c>
      <c r="K148" s="505">
        <v>0</v>
      </c>
      <c r="L148" s="506">
        <f>K148/K12</f>
        <v>0</v>
      </c>
      <c r="M148" s="505">
        <v>0</v>
      </c>
      <c r="N148" s="506">
        <f>M148/M12</f>
        <v>0</v>
      </c>
      <c r="O148" s="505">
        <v>0</v>
      </c>
      <c r="P148" s="506">
        <f>O148/O12</f>
        <v>0</v>
      </c>
      <c r="Q148" s="505">
        <v>0</v>
      </c>
      <c r="R148" s="506">
        <f>Q148/Q12</f>
        <v>0</v>
      </c>
      <c r="S148" s="505">
        <v>0</v>
      </c>
      <c r="T148" s="506">
        <f>S148/S12</f>
        <v>0</v>
      </c>
      <c r="U148" s="505">
        <v>0</v>
      </c>
      <c r="V148" s="506">
        <f>U148/U12</f>
        <v>0</v>
      </c>
      <c r="W148" s="505">
        <v>0</v>
      </c>
      <c r="X148" s="506">
        <f>W148/W12</f>
        <v>0</v>
      </c>
      <c r="Y148" s="505">
        <v>0</v>
      </c>
      <c r="Z148" s="506">
        <f>Y148/Y12</f>
        <v>0</v>
      </c>
      <c r="AA148" s="505">
        <f>C148+E148+G148+I148+K148+M148+O148+Q148+S148+U148+W148+Y148</f>
        <v>0</v>
      </c>
      <c r="AB148" s="506">
        <f>AA148/AA12</f>
        <v>0</v>
      </c>
      <c r="AC148" s="505">
        <f t="shared" si="154"/>
        <v>0</v>
      </c>
      <c r="AD148" s="506">
        <f>AC148/AC12</f>
        <v>0</v>
      </c>
      <c r="AE148" s="226"/>
      <c r="AF148" s="219"/>
      <c r="AG148" s="209"/>
      <c r="AH148" s="21">
        <f t="shared" si="97"/>
        <v>0</v>
      </c>
    </row>
    <row r="149" spans="1:34" s="289" customFormat="1" ht="21.75" customHeight="1" thickTop="1">
      <c r="B149" s="383"/>
      <c r="C149" s="507"/>
      <c r="D149" s="485"/>
      <c r="E149" s="507"/>
      <c r="F149" s="508"/>
      <c r="G149" s="507"/>
      <c r="H149" s="508"/>
      <c r="I149" s="507"/>
      <c r="J149" s="508"/>
      <c r="K149" s="496"/>
      <c r="L149" s="508"/>
      <c r="M149" s="496"/>
      <c r="N149" s="508"/>
      <c r="O149" s="496"/>
      <c r="P149" s="508"/>
      <c r="Q149" s="363"/>
      <c r="R149" s="508"/>
      <c r="S149" s="363"/>
      <c r="T149" s="508"/>
      <c r="U149" s="363"/>
      <c r="V149" s="508"/>
      <c r="W149" s="363"/>
      <c r="X149" s="508"/>
      <c r="Y149" s="363"/>
      <c r="Z149" s="508"/>
      <c r="AA149" s="398"/>
      <c r="AB149" s="399"/>
      <c r="AC149" s="400">
        <f t="shared" si="154"/>
        <v>0</v>
      </c>
      <c r="AD149" s="401"/>
      <c r="AE149" s="160"/>
      <c r="AF149" s="54"/>
      <c r="AH149" s="21">
        <f t="shared" ref="AH149:AH152" si="155">Q149*5.09</f>
        <v>0</v>
      </c>
    </row>
    <row r="150" spans="1:34" s="289" customFormat="1" ht="21.75" customHeight="1" thickBot="1">
      <c r="A150" s="140"/>
      <c r="B150" s="384" t="s">
        <v>206</v>
      </c>
      <c r="C150" s="505">
        <v>0</v>
      </c>
      <c r="D150" s="509"/>
      <c r="E150" s="505">
        <v>0</v>
      </c>
      <c r="F150" s="506"/>
      <c r="G150" s="505">
        <v>0</v>
      </c>
      <c r="H150" s="506"/>
      <c r="I150" s="505">
        <v>0</v>
      </c>
      <c r="J150" s="506"/>
      <c r="K150" s="455">
        <v>0</v>
      </c>
      <c r="L150" s="506"/>
      <c r="M150" s="455">
        <v>0</v>
      </c>
      <c r="N150" s="506"/>
      <c r="O150" s="455">
        <v>0</v>
      </c>
      <c r="P150" s="506"/>
      <c r="Q150" s="510">
        <v>0</v>
      </c>
      <c r="R150" s="506"/>
      <c r="S150" s="510">
        <v>0</v>
      </c>
      <c r="T150" s="506"/>
      <c r="U150" s="510">
        <v>0</v>
      </c>
      <c r="V150" s="506"/>
      <c r="W150" s="510">
        <v>0</v>
      </c>
      <c r="X150" s="506"/>
      <c r="Y150" s="510">
        <v>0</v>
      </c>
      <c r="Z150" s="506"/>
      <c r="AA150" s="505">
        <f>C150+E150+G150+I150+K150+M150+O150+Q150+S150+U150+W150+Y150</f>
        <v>0</v>
      </c>
      <c r="AB150" s="506"/>
      <c r="AC150" s="505">
        <f t="shared" si="154"/>
        <v>0</v>
      </c>
      <c r="AD150" s="506"/>
      <c r="AE150" s="160"/>
      <c r="AF150" s="54"/>
      <c r="AH150" s="21">
        <f t="shared" si="155"/>
        <v>0</v>
      </c>
    </row>
    <row r="151" spans="1:34" s="289" customFormat="1" ht="21.75" customHeight="1" thickTop="1">
      <c r="B151" s="66"/>
      <c r="C151" s="507"/>
      <c r="D151" s="485"/>
      <c r="E151" s="507"/>
      <c r="F151" s="508"/>
      <c r="G151" s="507"/>
      <c r="H151" s="508"/>
      <c r="I151" s="507"/>
      <c r="J151" s="508"/>
      <c r="K151" s="496"/>
      <c r="L151" s="508"/>
      <c r="M151" s="496"/>
      <c r="N151" s="508"/>
      <c r="O151" s="496"/>
      <c r="P151" s="508"/>
      <c r="Q151" s="363"/>
      <c r="R151" s="508"/>
      <c r="S151" s="363"/>
      <c r="T151" s="508"/>
      <c r="U151" s="363"/>
      <c r="V151" s="508"/>
      <c r="W151" s="363"/>
      <c r="X151" s="508"/>
      <c r="Y151" s="363"/>
      <c r="Z151" s="508"/>
      <c r="AA151" s="398"/>
      <c r="AB151" s="399"/>
      <c r="AC151" s="400">
        <f t="shared" si="154"/>
        <v>0</v>
      </c>
      <c r="AD151" s="401"/>
      <c r="AE151" s="160"/>
      <c r="AF151" s="54"/>
      <c r="AH151" s="21">
        <f t="shared" si="155"/>
        <v>0</v>
      </c>
    </row>
    <row r="152" spans="1:34" s="289" customFormat="1" ht="21.75" customHeight="1" thickBot="1">
      <c r="A152" s="140"/>
      <c r="B152" s="148" t="s">
        <v>189</v>
      </c>
      <c r="C152" s="505">
        <f>C146-C148-C150</f>
        <v>-759.83340884836616</v>
      </c>
      <c r="D152" s="506">
        <f>C152/C12</f>
        <v>-4.484936216412363E-3</v>
      </c>
      <c r="E152" s="505">
        <f>E146-E148-E150</f>
        <v>-21319.97299978404</v>
      </c>
      <c r="F152" s="506">
        <f>E152/E12</f>
        <v>-0.16175022001535597</v>
      </c>
      <c r="G152" s="505">
        <f>G146-G148-G150</f>
        <v>11910.825593942114</v>
      </c>
      <c r="H152" s="506">
        <f>G152/G12</f>
        <v>5.447664223221374E-2</v>
      </c>
      <c r="I152" s="505">
        <f>I146-I148-I150</f>
        <v>3444.9306842387814</v>
      </c>
      <c r="J152" s="506">
        <f>I152/I12</f>
        <v>1.7843952979684642E-2</v>
      </c>
      <c r="K152" s="505">
        <f>K146-K148-K150</f>
        <v>10010.284236518142</v>
      </c>
      <c r="L152" s="506">
        <f>K152/K12</f>
        <v>5.6692408278950002E-2</v>
      </c>
      <c r="M152" s="505">
        <f>M146-M148-M150</f>
        <v>27950.458231269011</v>
      </c>
      <c r="N152" s="506">
        <f>M152/M12</f>
        <v>0.11163373071074184</v>
      </c>
      <c r="O152" s="505">
        <f>O146-O148-O150</f>
        <v>-10514.301827470887</v>
      </c>
      <c r="P152" s="506">
        <f>O152/O12</f>
        <v>-6.6329605701457614E-2</v>
      </c>
      <c r="Q152" s="505">
        <f>Q146-Q148-Q150</f>
        <v>-7745.8396196822396</v>
      </c>
      <c r="R152" s="506">
        <f>Q152/Q12</f>
        <v>-3.9351848825820573E-2</v>
      </c>
      <c r="S152" s="505">
        <f>S146-S148-S150</f>
        <v>15971.901460206092</v>
      </c>
      <c r="T152" s="506">
        <f>S152/S12</f>
        <v>8.0549018087973975E-2</v>
      </c>
      <c r="U152" s="505">
        <f>U146-U148-U150</f>
        <v>-4782.1114441109639</v>
      </c>
      <c r="V152" s="506">
        <f>U152/U12</f>
        <v>-3.0404442247768036E-2</v>
      </c>
      <c r="W152" s="505">
        <f>W146-W148-W150</f>
        <v>-770.55045727053584</v>
      </c>
      <c r="X152" s="506">
        <f>W152/W12</f>
        <v>-4.8151405700460398E-3</v>
      </c>
      <c r="Y152" s="505">
        <f>Y146-Y148-Y150</f>
        <v>30774.324868134019</v>
      </c>
      <c r="Z152" s="506">
        <f>Y152/Y12</f>
        <v>0.12730008415013513</v>
      </c>
      <c r="AA152" s="511">
        <f>AA146-AA148</f>
        <v>54170.115317141404</v>
      </c>
      <c r="AB152" s="506">
        <f>AA152/AA12</f>
        <v>2.4048131954439944E-2</v>
      </c>
      <c r="AC152" s="511">
        <f t="shared" si="154"/>
        <v>4514.1762764284504</v>
      </c>
      <c r="AD152" s="506">
        <f>AC152/AC12</f>
        <v>2.4048131954439944E-2</v>
      </c>
      <c r="AE152" s="226"/>
      <c r="AF152" s="219"/>
      <c r="AG152" s="209"/>
      <c r="AH152" s="21">
        <f t="shared" si="155"/>
        <v>-39426.323664182601</v>
      </c>
    </row>
    <row r="153" spans="1:34" s="289" customFormat="1" ht="21.75" customHeight="1" thickTop="1">
      <c r="B153" s="130"/>
      <c r="C153" s="507"/>
      <c r="D153" s="485"/>
      <c r="E153" s="507"/>
      <c r="F153" s="508"/>
      <c r="G153" s="507"/>
      <c r="H153" s="508"/>
      <c r="I153" s="507"/>
      <c r="J153" s="508"/>
      <c r="K153" s="496"/>
      <c r="L153" s="508"/>
      <c r="M153" s="496"/>
      <c r="N153" s="508"/>
      <c r="O153" s="496"/>
      <c r="P153" s="508"/>
      <c r="Q153" s="507"/>
      <c r="R153" s="508"/>
      <c r="S153" s="507"/>
      <c r="T153" s="508"/>
      <c r="U153" s="363"/>
      <c r="V153" s="508"/>
      <c r="W153" s="363"/>
      <c r="X153" s="508"/>
      <c r="Y153" s="363"/>
      <c r="Z153" s="508"/>
      <c r="AA153" s="398"/>
      <c r="AB153" s="399"/>
      <c r="AC153" s="400"/>
      <c r="AD153" s="512"/>
      <c r="AE153" s="160"/>
      <c r="AF153" s="64"/>
      <c r="AH153" s="27"/>
    </row>
    <row r="154" spans="1:34" s="289" customFormat="1" ht="21.75" customHeight="1">
      <c r="B154" s="180" t="s">
        <v>138</v>
      </c>
      <c r="C154" s="507">
        <f>C152</f>
        <v>-759.83340884836616</v>
      </c>
      <c r="D154" s="485"/>
      <c r="E154" s="507">
        <f>E152+C154</f>
        <v>-22079.806408632408</v>
      </c>
      <c r="F154" s="508"/>
      <c r="G154" s="507">
        <f>G152+E154</f>
        <v>-10168.980814690294</v>
      </c>
      <c r="H154" s="508"/>
      <c r="I154" s="507">
        <f>I152+G154</f>
        <v>-6724.0501304515128</v>
      </c>
      <c r="J154" s="508"/>
      <c r="K154" s="507">
        <f>K152+I154</f>
        <v>3286.2341060666295</v>
      </c>
      <c r="L154" s="508"/>
      <c r="M154" s="507">
        <f>M152+K154</f>
        <v>31236.69233733564</v>
      </c>
      <c r="N154" s="508"/>
      <c r="O154" s="507">
        <f>O152+M154</f>
        <v>20722.390509864752</v>
      </c>
      <c r="P154" s="508"/>
      <c r="Q154" s="507">
        <f>Q152+O154</f>
        <v>12976.550890182512</v>
      </c>
      <c r="R154" s="508"/>
      <c r="S154" s="507">
        <f>S152+Q154</f>
        <v>28948.452350388605</v>
      </c>
      <c r="T154" s="508"/>
      <c r="U154" s="507">
        <f>U152+S154</f>
        <v>24166.340906277641</v>
      </c>
      <c r="V154" s="508"/>
      <c r="W154" s="507">
        <f>W152+U154</f>
        <v>23395.790449007105</v>
      </c>
      <c r="X154" s="508"/>
      <c r="Y154" s="507">
        <f>Y152+W154</f>
        <v>54170.115317141128</v>
      </c>
      <c r="Z154" s="363"/>
      <c r="AA154" s="363"/>
      <c r="AB154" s="399"/>
      <c r="AC154" s="400"/>
      <c r="AD154" s="401"/>
      <c r="AE154" s="160"/>
      <c r="AF154" s="64"/>
      <c r="AH154" s="27"/>
    </row>
    <row r="155" spans="1:34" s="289" customFormat="1" ht="21.75" customHeight="1">
      <c r="C155" s="507"/>
      <c r="D155" s="485"/>
      <c r="E155" s="507"/>
      <c r="F155" s="508"/>
      <c r="G155" s="507"/>
      <c r="H155" s="508"/>
      <c r="I155" s="507">
        <v>-7208.55</v>
      </c>
      <c r="J155" s="508"/>
      <c r="K155" s="496"/>
      <c r="L155" s="508"/>
      <c r="M155" s="496"/>
      <c r="N155" s="508"/>
      <c r="O155" s="496"/>
      <c r="P155" s="508"/>
      <c r="Q155" s="363"/>
      <c r="R155" s="508"/>
      <c r="S155" s="363"/>
      <c r="T155" s="508"/>
      <c r="U155" s="363"/>
      <c r="V155" s="508"/>
      <c r="W155" s="363"/>
      <c r="X155" s="508"/>
      <c r="Y155" s="363"/>
      <c r="Z155" s="513" t="s">
        <v>103</v>
      </c>
      <c r="AA155" s="514">
        <f>AA152*5.09</f>
        <v>275725.88696424972</v>
      </c>
      <c r="AB155" s="399"/>
      <c r="AC155" s="400"/>
      <c r="AD155" s="401"/>
      <c r="AE155" s="160"/>
      <c r="AF155" s="64"/>
      <c r="AH155" s="27"/>
    </row>
    <row r="156" spans="1:34" ht="21.75" customHeight="1">
      <c r="B156" s="297" t="s">
        <v>103</v>
      </c>
      <c r="C156" s="515">
        <f>C154*5.09</f>
        <v>-3867.5520510381834</v>
      </c>
      <c r="E156" s="515">
        <f>E154*5.09</f>
        <v>-112386.21461993895</v>
      </c>
      <c r="G156" s="515">
        <f>G154*5.09</f>
        <v>-51760.112346773596</v>
      </c>
      <c r="I156" s="515">
        <f>I154*5.09</f>
        <v>-34225.415163998201</v>
      </c>
      <c r="K156" s="518">
        <f>K154*5.09</f>
        <v>16726.931599879143</v>
      </c>
      <c r="M156" s="518">
        <f>M154*5.09</f>
        <v>158994.76399703842</v>
      </c>
      <c r="O156" s="515">
        <f>O154*5.09</f>
        <v>105476.96769521158</v>
      </c>
      <c r="Q156" s="515">
        <f>Q154*5.09</f>
        <v>66050.644031028991</v>
      </c>
      <c r="S156" s="515">
        <f>S154*5.09</f>
        <v>147347.62246347801</v>
      </c>
      <c r="U156" s="515">
        <f>U154*5.09</f>
        <v>123006.67521295318</v>
      </c>
      <c r="W156" s="515">
        <f>W154*5.09</f>
        <v>119084.57338544616</v>
      </c>
      <c r="Y156" s="515">
        <f>Y154*5.09</f>
        <v>275725.88696424832</v>
      </c>
    </row>
    <row r="158" spans="1:34" ht="21.75" customHeight="1">
      <c r="D158" s="519"/>
      <c r="S158" s="520"/>
      <c r="AA158" s="518"/>
    </row>
    <row r="159" spans="1:34" ht="21.75" customHeight="1">
      <c r="D159" s="521"/>
    </row>
    <row r="160" spans="1:34" ht="21.75" customHeight="1">
      <c r="D160" s="521"/>
    </row>
    <row r="161" spans="4:4" ht="21.75" customHeight="1">
      <c r="D161" s="519"/>
    </row>
    <row r="162" spans="4:4" ht="21.75" customHeight="1">
      <c r="D162" s="519"/>
    </row>
  </sheetData>
  <mergeCells count="15">
    <mergeCell ref="A1:AD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rintOptions gridLines="1"/>
  <pageMargins left="0.70866141732283505" right="0.70866141732283505" top="0.74803149606299202" bottom="1.1000000000000001" header="0.31496062992126" footer="0.31496062992126"/>
  <pageSetup paperSize="8" scale="53" fitToHeight="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62"/>
  <sheetViews>
    <sheetView zoomScale="70" zoomScaleNormal="70" workbookViewId="0">
      <pane xSplit="2" ySplit="5" topLeftCell="C39" activePane="bottomRight" state="frozen"/>
      <selection activeCell="M143" sqref="M143"/>
      <selection pane="topRight" activeCell="M143" sqref="M143"/>
      <selection pane="bottomLeft" activeCell="M143" sqref="M143"/>
      <selection pane="bottomRight" activeCell="K59" sqref="K59"/>
    </sheetView>
  </sheetViews>
  <sheetFormatPr defaultColWidth="9.140625" defaultRowHeight="21.75" customHeight="1"/>
  <cols>
    <col min="1" max="1" width="7.42578125" style="133" bestFit="1" customWidth="1"/>
    <col min="2" max="2" width="54.85546875" style="133" bestFit="1" customWidth="1"/>
    <col min="3" max="3" width="16" style="515" bestFit="1" customWidth="1"/>
    <col min="4" max="4" width="11.140625" style="516" bestFit="1" customWidth="1"/>
    <col min="5" max="5" width="16" style="515" bestFit="1" customWidth="1"/>
    <col min="6" max="6" width="11.140625" style="517" bestFit="1" customWidth="1"/>
    <col min="7" max="7" width="16" style="515" bestFit="1" customWidth="1"/>
    <col min="8" max="8" width="11.140625" style="517" bestFit="1" customWidth="1"/>
    <col min="9" max="9" width="18.28515625" style="515" bestFit="1" customWidth="1"/>
    <col min="10" max="10" width="11.140625" style="517" bestFit="1" customWidth="1"/>
    <col min="11" max="11" width="18.28515625" style="441" bestFit="1" customWidth="1"/>
    <col min="12" max="12" width="11.140625" style="517" bestFit="1" customWidth="1"/>
    <col min="13" max="13" width="16" style="441" bestFit="1" customWidth="1"/>
    <col min="14" max="14" width="11.140625" style="517" bestFit="1" customWidth="1"/>
    <col min="15" max="15" width="16.5703125" style="441" bestFit="1" customWidth="1"/>
    <col min="16" max="16" width="11.140625" style="517" bestFit="1" customWidth="1"/>
    <col min="17" max="17" width="23.140625" style="516" customWidth="1"/>
    <col min="18" max="18" width="11.140625" style="517" bestFit="1" customWidth="1"/>
    <col min="19" max="19" width="16.140625" style="516" bestFit="1" customWidth="1"/>
    <col min="20" max="20" width="11.140625" style="517" bestFit="1" customWidth="1"/>
    <col min="21" max="21" width="16.140625" style="516" bestFit="1" customWidth="1"/>
    <col min="22" max="22" width="11.140625" style="517" bestFit="1" customWidth="1"/>
    <col min="23" max="23" width="16.140625" style="516" bestFit="1" customWidth="1"/>
    <col min="24" max="24" width="11.140625" style="517" bestFit="1" customWidth="1"/>
    <col min="25" max="25" width="16.140625" style="516" bestFit="1" customWidth="1"/>
    <col min="26" max="26" width="11.140625" style="517" bestFit="1" customWidth="1"/>
    <col min="27" max="27" width="18.28515625" style="516" bestFit="1" customWidth="1"/>
    <col min="28" max="28" width="11.140625" style="517" bestFit="1" customWidth="1"/>
    <col min="29" max="29" width="14.5703125" style="516" bestFit="1" customWidth="1"/>
    <col min="30" max="30" width="11.140625" style="517" bestFit="1" customWidth="1"/>
    <col min="31" max="31" width="20.7109375" style="259" bestFit="1" customWidth="1"/>
    <col min="32" max="32" width="25.42578125" style="168" bestFit="1" customWidth="1"/>
    <col min="33" max="33" width="57.42578125" style="133" bestFit="1" customWidth="1"/>
    <col min="34" max="34" width="6" style="26" bestFit="1" customWidth="1"/>
    <col min="35" max="35" width="6" style="133" bestFit="1" customWidth="1"/>
    <col min="36" max="16384" width="9.140625" style="133"/>
  </cols>
  <sheetData>
    <row r="1" spans="1:34" s="289" customFormat="1" ht="21.75" customHeight="1">
      <c r="A1" s="600" t="s">
        <v>299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1"/>
      <c r="AE1" s="210"/>
      <c r="AF1" s="64"/>
      <c r="AH1" s="27"/>
    </row>
    <row r="2" spans="1:34" s="289" customFormat="1" ht="21.75" customHeight="1">
      <c r="A2" s="32"/>
      <c r="B2" s="32"/>
      <c r="C2" s="607" t="s">
        <v>64</v>
      </c>
      <c r="D2" s="608"/>
      <c r="E2" s="609" t="s">
        <v>65</v>
      </c>
      <c r="F2" s="609"/>
      <c r="G2" s="607" t="s">
        <v>81</v>
      </c>
      <c r="H2" s="608"/>
      <c r="I2" s="607" t="s">
        <v>82</v>
      </c>
      <c r="J2" s="608"/>
      <c r="K2" s="607" t="s">
        <v>83</v>
      </c>
      <c r="L2" s="608"/>
      <c r="M2" s="607" t="s">
        <v>84</v>
      </c>
      <c r="N2" s="610"/>
      <c r="O2" s="607" t="s">
        <v>85</v>
      </c>
      <c r="P2" s="608"/>
      <c r="Q2" s="607" t="s">
        <v>86</v>
      </c>
      <c r="R2" s="608"/>
      <c r="S2" s="609" t="s">
        <v>87</v>
      </c>
      <c r="T2" s="609"/>
      <c r="U2" s="607" t="s">
        <v>120</v>
      </c>
      <c r="V2" s="608"/>
      <c r="W2" s="607" t="s">
        <v>121</v>
      </c>
      <c r="X2" s="608"/>
      <c r="Y2" s="609" t="s">
        <v>122</v>
      </c>
      <c r="Z2" s="609"/>
      <c r="AA2" s="611" t="s">
        <v>118</v>
      </c>
      <c r="AB2" s="611"/>
      <c r="AC2" s="612" t="s">
        <v>119</v>
      </c>
      <c r="AD2" s="612"/>
      <c r="AE2" s="211"/>
      <c r="AF2" s="64"/>
      <c r="AH2" s="27"/>
    </row>
    <row r="3" spans="1:34" s="289" customFormat="1" ht="21.75" customHeight="1" thickBot="1">
      <c r="A3" s="30"/>
      <c r="B3" s="12" t="s">
        <v>69</v>
      </c>
      <c r="C3" s="385" t="s">
        <v>106</v>
      </c>
      <c r="D3" s="386" t="s">
        <v>80</v>
      </c>
      <c r="E3" s="385" t="s">
        <v>106</v>
      </c>
      <c r="F3" s="387" t="s">
        <v>80</v>
      </c>
      <c r="G3" s="385" t="s">
        <v>106</v>
      </c>
      <c r="H3" s="387" t="s">
        <v>80</v>
      </c>
      <c r="I3" s="385" t="s">
        <v>106</v>
      </c>
      <c r="J3" s="387" t="s">
        <v>80</v>
      </c>
      <c r="K3" s="388" t="s">
        <v>106</v>
      </c>
      <c r="L3" s="387" t="s">
        <v>80</v>
      </c>
      <c r="M3" s="388" t="s">
        <v>106</v>
      </c>
      <c r="N3" s="387" t="s">
        <v>80</v>
      </c>
      <c r="O3" s="388" t="s">
        <v>106</v>
      </c>
      <c r="P3" s="387" t="s">
        <v>80</v>
      </c>
      <c r="Q3" s="389" t="s">
        <v>106</v>
      </c>
      <c r="R3" s="387" t="s">
        <v>80</v>
      </c>
      <c r="S3" s="389" t="s">
        <v>106</v>
      </c>
      <c r="T3" s="387" t="s">
        <v>80</v>
      </c>
      <c r="U3" s="389" t="s">
        <v>106</v>
      </c>
      <c r="V3" s="387" t="s">
        <v>80</v>
      </c>
      <c r="W3" s="389" t="s">
        <v>106</v>
      </c>
      <c r="X3" s="387" t="s">
        <v>80</v>
      </c>
      <c r="Y3" s="389" t="s">
        <v>106</v>
      </c>
      <c r="Z3" s="387" t="s">
        <v>80</v>
      </c>
      <c r="AA3" s="390" t="s">
        <v>106</v>
      </c>
      <c r="AB3" s="391" t="s">
        <v>80</v>
      </c>
      <c r="AC3" s="392" t="s">
        <v>106</v>
      </c>
      <c r="AD3" s="393" t="s">
        <v>80</v>
      </c>
      <c r="AE3" s="212"/>
      <c r="AF3" s="64"/>
      <c r="AH3" s="27"/>
    </row>
    <row r="4" spans="1:34" s="289" customFormat="1" ht="21.75" customHeight="1">
      <c r="C4" s="394"/>
      <c r="D4" s="395"/>
      <c r="E4" s="394"/>
      <c r="F4" s="396"/>
      <c r="G4" s="394"/>
      <c r="H4" s="396"/>
      <c r="I4" s="394" t="s">
        <v>201</v>
      </c>
      <c r="J4" s="396"/>
      <c r="K4" s="397"/>
      <c r="L4" s="396"/>
      <c r="M4" s="397"/>
      <c r="N4" s="396"/>
      <c r="O4" s="397"/>
      <c r="P4" s="396"/>
      <c r="Q4" s="394" t="s">
        <v>201</v>
      </c>
      <c r="R4" s="396"/>
      <c r="S4" s="361"/>
      <c r="T4" s="396"/>
      <c r="U4" s="361"/>
      <c r="V4" s="396"/>
      <c r="W4" s="361"/>
      <c r="X4" s="396"/>
      <c r="Y4" s="361"/>
      <c r="Z4" s="396"/>
      <c r="AA4" s="398"/>
      <c r="AB4" s="399"/>
      <c r="AC4" s="400"/>
      <c r="AD4" s="401"/>
      <c r="AE4" s="160"/>
      <c r="AF4" s="64"/>
      <c r="AH4" s="27"/>
    </row>
    <row r="5" spans="1:34" s="5" customFormat="1" ht="21.75" customHeight="1">
      <c r="A5" s="6">
        <v>5004</v>
      </c>
      <c r="B5" s="16" t="s">
        <v>71</v>
      </c>
      <c r="C5" s="557">
        <f>133842+C9</f>
        <v>186040.51940658435</v>
      </c>
      <c r="D5" s="403">
        <v>1</v>
      </c>
      <c r="E5" s="558">
        <f>104129.550016693+E9</f>
        <v>137451.00602203465</v>
      </c>
      <c r="F5" s="403">
        <v>1</v>
      </c>
      <c r="G5" s="559">
        <f>172727.764517942+G9</f>
        <v>250455.25855101587</v>
      </c>
      <c r="H5" s="403">
        <v>1</v>
      </c>
      <c r="I5" s="560">
        <f>152517.625665671+I9</f>
        <v>207423.9709053124</v>
      </c>
      <c r="J5" s="403">
        <v>1</v>
      </c>
      <c r="K5" s="561">
        <f>139492.905775283+K9</f>
        <v>175761.06127685658</v>
      </c>
      <c r="L5" s="403">
        <v>1</v>
      </c>
      <c r="M5" s="562">
        <f>197799.009079247+M9</f>
        <v>276918.61271094577</v>
      </c>
      <c r="N5" s="403">
        <v>1</v>
      </c>
      <c r="O5" s="563">
        <f>125228.63371015+O9</f>
        <v>175320.08719420989</v>
      </c>
      <c r="P5" s="403">
        <v>1</v>
      </c>
      <c r="Q5" s="564">
        <f>155501.283277219+Q9</f>
        <v>216146.78375533439</v>
      </c>
      <c r="R5" s="403">
        <v>1</v>
      </c>
      <c r="S5" s="565">
        <f>156648.770131068+S9</f>
        <v>203643.40117038853</v>
      </c>
      <c r="T5" s="403">
        <v>1</v>
      </c>
      <c r="U5" s="566">
        <f>124254.827269439+U9</f>
        <v>168986.56508643704</v>
      </c>
      <c r="V5" s="403">
        <v>1</v>
      </c>
      <c r="W5" s="567">
        <f>126422.021482401+W9</f>
        <v>150442.20556405725</v>
      </c>
      <c r="X5" s="403">
        <v>1</v>
      </c>
      <c r="Y5" s="568">
        <f>190981.131205853+Y9</f>
        <v>255914.71581584308</v>
      </c>
      <c r="Z5" s="403">
        <v>1</v>
      </c>
      <c r="AA5" s="405">
        <f>C5+E5+G5+I5+K5+M5+O5+Q5+S5+U5+W5+Y5</f>
        <v>2404504.1874590199</v>
      </c>
      <c r="AB5" s="406">
        <v>1</v>
      </c>
      <c r="AC5" s="407">
        <f>AA5/12</f>
        <v>200375.34895491833</v>
      </c>
      <c r="AD5" s="406">
        <v>1</v>
      </c>
      <c r="AE5" s="333" t="s">
        <v>201</v>
      </c>
      <c r="AF5" s="221" t="s">
        <v>106</v>
      </c>
      <c r="AG5" s="204" t="s">
        <v>171</v>
      </c>
      <c r="AH5" s="21">
        <f>Q5*5.09</f>
        <v>1100187.1293146519</v>
      </c>
    </row>
    <row r="6" spans="1:34" s="289" customFormat="1" ht="21.75" customHeight="1">
      <c r="A6" s="5">
        <v>5005</v>
      </c>
      <c r="B6" s="361" t="s">
        <v>67</v>
      </c>
      <c r="C6" s="402"/>
      <c r="D6" s="408"/>
      <c r="E6" s="402"/>
      <c r="F6" s="408"/>
      <c r="G6" s="402"/>
      <c r="H6" s="408"/>
      <c r="I6" s="402"/>
      <c r="J6" s="408"/>
      <c r="K6" s="397"/>
      <c r="L6" s="408"/>
      <c r="M6" s="409"/>
      <c r="N6" s="410"/>
      <c r="O6" s="404"/>
      <c r="P6" s="408"/>
      <c r="Q6" s="411"/>
      <c r="R6" s="408"/>
      <c r="S6" s="411"/>
      <c r="T6" s="408"/>
      <c r="U6" s="411"/>
      <c r="V6" s="408"/>
      <c r="W6" s="411"/>
      <c r="X6" s="408"/>
      <c r="Y6" s="411"/>
      <c r="Z6" s="408"/>
      <c r="AA6" s="405">
        <f t="shared" ref="AA6:AA11" si="0">C6+E6+G6+I6+K6+M6+O6+Q6+S6+U6+W6+Y6</f>
        <v>0</v>
      </c>
      <c r="AB6" s="413"/>
      <c r="AC6" s="407">
        <f t="shared" ref="AC6:AC69" si="1">AA6/12</f>
        <v>0</v>
      </c>
      <c r="AD6" s="414"/>
      <c r="AE6" s="213"/>
      <c r="AF6" s="64"/>
      <c r="AH6" s="21">
        <f t="shared" ref="AH6:AH69" si="2">Q6*5.09</f>
        <v>0</v>
      </c>
    </row>
    <row r="7" spans="1:34" s="289" customFormat="1" ht="21.75" customHeight="1">
      <c r="A7" s="6">
        <v>5051</v>
      </c>
      <c r="B7" s="362" t="s">
        <v>74</v>
      </c>
      <c r="C7" s="55"/>
      <c r="D7" s="49">
        <f>C7/C$5</f>
        <v>0</v>
      </c>
      <c r="E7" s="55"/>
      <c r="F7" s="49">
        <f>E7/E$5</f>
        <v>0</v>
      </c>
      <c r="H7" s="49">
        <f>G7/G$5</f>
        <v>0</v>
      </c>
      <c r="I7" s="55"/>
      <c r="J7" s="49">
        <f>I7/I$5</f>
        <v>0</v>
      </c>
      <c r="K7" s="55"/>
      <c r="L7" s="49">
        <f>K7/K$5</f>
        <v>0</v>
      </c>
      <c r="M7" s="55"/>
      <c r="N7" s="49">
        <f>M7/M$5</f>
        <v>0</v>
      </c>
      <c r="O7" s="55"/>
      <c r="P7" s="49">
        <f>O7/O$5</f>
        <v>0</v>
      </c>
      <c r="Q7" s="55"/>
      <c r="R7" s="49">
        <f>Q7/Q$5</f>
        <v>0</v>
      </c>
      <c r="S7" s="55"/>
      <c r="T7" s="49">
        <f>S7/S$5</f>
        <v>0</v>
      </c>
      <c r="U7" s="36"/>
      <c r="V7" s="49">
        <f>U7/U$5</f>
        <v>0</v>
      </c>
      <c r="W7" s="36"/>
      <c r="X7" s="49">
        <f>W7/W$5</f>
        <v>0</v>
      </c>
      <c r="Y7" s="36"/>
      <c r="Z7" s="49">
        <f>Y7/Y$5</f>
        <v>0</v>
      </c>
      <c r="AA7" s="405">
        <f t="shared" si="0"/>
        <v>0</v>
      </c>
      <c r="AB7" s="416">
        <f>AA7/AA$5</f>
        <v>0</v>
      </c>
      <c r="AC7" s="407">
        <f t="shared" si="1"/>
        <v>0</v>
      </c>
      <c r="AD7" s="417">
        <f>AC7/AC$5</f>
        <v>0</v>
      </c>
      <c r="AE7" s="214"/>
      <c r="AF7" s="64"/>
      <c r="AH7" s="21">
        <f t="shared" si="2"/>
        <v>0</v>
      </c>
    </row>
    <row r="8" spans="1:34" s="289" customFormat="1" ht="21.75" customHeight="1">
      <c r="A8" s="289">
        <v>5052</v>
      </c>
      <c r="B8" s="363" t="s">
        <v>90</v>
      </c>
      <c r="C8" s="55"/>
      <c r="D8" s="49">
        <f>C8/C$5</f>
        <v>0</v>
      </c>
      <c r="E8" s="55"/>
      <c r="F8" s="49">
        <f t="shared" ref="F8:F11" si="3">E8/E$5</f>
        <v>0</v>
      </c>
      <c r="G8" s="55"/>
      <c r="H8" s="49">
        <f t="shared" ref="H8:H11" si="4">G8/G$5</f>
        <v>0</v>
      </c>
      <c r="I8" s="55"/>
      <c r="J8" s="49">
        <f t="shared" ref="J8:J11" si="5">I8/I$5</f>
        <v>0</v>
      </c>
      <c r="K8" s="55"/>
      <c r="L8" s="49">
        <f t="shared" ref="L8:L11" si="6">K8/K$5</f>
        <v>0</v>
      </c>
      <c r="M8" s="55"/>
      <c r="N8" s="49">
        <f t="shared" ref="N8:N11" si="7">M8/M$5</f>
        <v>0</v>
      </c>
      <c r="O8" s="55"/>
      <c r="P8" s="49">
        <f t="shared" ref="P8:P11" si="8">O8/O$5</f>
        <v>0</v>
      </c>
      <c r="Q8" s="55"/>
      <c r="R8" s="49">
        <f t="shared" ref="R8:R11" si="9">Q8/Q$5</f>
        <v>0</v>
      </c>
      <c r="S8" s="55"/>
      <c r="T8" s="49">
        <f t="shared" ref="T8:T11" si="10">S8/S$5</f>
        <v>0</v>
      </c>
      <c r="U8" s="55"/>
      <c r="V8" s="49">
        <f t="shared" ref="V8:V11" si="11">U8/U$5</f>
        <v>0</v>
      </c>
      <c r="W8" s="55"/>
      <c r="X8" s="49">
        <f t="shared" ref="X8:X11" si="12">W8/W$5</f>
        <v>0</v>
      </c>
      <c r="Y8" s="55"/>
      <c r="Z8" s="49">
        <f t="shared" ref="Z8:Z11" si="13">Y8/Y$5</f>
        <v>0</v>
      </c>
      <c r="AA8" s="405">
        <f t="shared" si="0"/>
        <v>0</v>
      </c>
      <c r="AB8" s="416">
        <f t="shared" ref="AB8:AB11" si="14">AA8/AA$5</f>
        <v>0</v>
      </c>
      <c r="AC8" s="407">
        <f t="shared" si="1"/>
        <v>0</v>
      </c>
      <c r="AD8" s="417">
        <f t="shared" ref="AD8:AD11" si="15">AC8/AC$5</f>
        <v>0</v>
      </c>
      <c r="AE8" s="214"/>
      <c r="AF8" s="54"/>
      <c r="AH8" s="21">
        <f t="shared" si="2"/>
        <v>0</v>
      </c>
    </row>
    <row r="9" spans="1:34" s="289" customFormat="1" ht="21.75" customHeight="1">
      <c r="A9" s="289">
        <v>5101</v>
      </c>
      <c r="B9" s="363" t="s">
        <v>46</v>
      </c>
      <c r="C9" s="55">
        <v>52198.519406584361</v>
      </c>
      <c r="D9" s="49">
        <f>C9/C5</f>
        <v>0.2805760786579321</v>
      </c>
      <c r="E9" s="55">
        <v>33321.45600534165</v>
      </c>
      <c r="F9" s="49">
        <f>E9/E5</f>
        <v>0.24242424242424182</v>
      </c>
      <c r="G9" s="289">
        <v>77727.494033073846</v>
      </c>
      <c r="H9" s="49">
        <f>G9/G5</f>
        <v>0.31034482758620674</v>
      </c>
      <c r="I9" s="55">
        <v>54906.3452396414</v>
      </c>
      <c r="J9" s="49">
        <f>I9/I5</f>
        <v>0.26470588235294062</v>
      </c>
      <c r="K9" s="25">
        <v>36268.155501573572</v>
      </c>
      <c r="L9" s="49">
        <f>K9/K5</f>
        <v>0.20634920634920631</v>
      </c>
      <c r="M9" s="25">
        <v>79119.603631698788</v>
      </c>
      <c r="N9" s="49">
        <f>M9/M5</f>
        <v>0.2857142857142857</v>
      </c>
      <c r="O9" s="25">
        <v>50091.453484059901</v>
      </c>
      <c r="P9" s="49">
        <f>O9/O5</f>
        <v>0.28571428571428531</v>
      </c>
      <c r="Q9" s="55">
        <v>60645.500478115384</v>
      </c>
      <c r="R9" s="49">
        <f>Q9/Q5</f>
        <v>0.28057553956834524</v>
      </c>
      <c r="S9" s="36">
        <v>46994.631039320513</v>
      </c>
      <c r="T9" s="49">
        <f>S9/S5</f>
        <v>0.23076923076923117</v>
      </c>
      <c r="U9" s="36">
        <v>44731.737816998037</v>
      </c>
      <c r="V9" s="49">
        <f>U9/U5</f>
        <v>0.26470588235294118</v>
      </c>
      <c r="W9" s="55">
        <v>24020.184081656254</v>
      </c>
      <c r="X9" s="49">
        <f>W9/W5</f>
        <v>0.15966386554621886</v>
      </c>
      <c r="Y9" s="36">
        <v>64933.584609990081</v>
      </c>
      <c r="Z9" s="49">
        <f>Y9/Y5</f>
        <v>0.25373134328358227</v>
      </c>
      <c r="AA9" s="405">
        <f t="shared" si="0"/>
        <v>624958.66532805387</v>
      </c>
      <c r="AB9" s="416">
        <f t="shared" si="14"/>
        <v>0.2599116560443524</v>
      </c>
      <c r="AC9" s="407">
        <f t="shared" si="1"/>
        <v>52079.888777337823</v>
      </c>
      <c r="AD9" s="417">
        <f t="shared" si="15"/>
        <v>0.2599116560443524</v>
      </c>
      <c r="AE9" s="214"/>
      <c r="AF9" s="54"/>
      <c r="AH9" s="21">
        <f t="shared" si="2"/>
        <v>308685.59743360727</v>
      </c>
    </row>
    <row r="10" spans="1:34" s="289" customFormat="1" ht="21.75" customHeight="1">
      <c r="A10" s="289">
        <v>5102</v>
      </c>
      <c r="B10" s="363" t="s">
        <v>196</v>
      </c>
      <c r="C10" s="55">
        <v>0</v>
      </c>
      <c r="D10" s="49">
        <f>C10/C$5</f>
        <v>0</v>
      </c>
      <c r="E10" s="55"/>
      <c r="F10" s="49">
        <f t="shared" si="3"/>
        <v>0</v>
      </c>
      <c r="G10" s="55"/>
      <c r="H10" s="49"/>
      <c r="I10" s="55"/>
      <c r="J10" s="49">
        <f t="shared" si="5"/>
        <v>0</v>
      </c>
      <c r="K10" s="21"/>
      <c r="L10" s="49">
        <f t="shared" si="6"/>
        <v>0</v>
      </c>
      <c r="M10" s="55"/>
      <c r="N10" s="49">
        <f t="shared" si="7"/>
        <v>0</v>
      </c>
      <c r="O10" s="55"/>
      <c r="P10" s="49">
        <f t="shared" si="8"/>
        <v>0</v>
      </c>
      <c r="Q10" s="21"/>
      <c r="R10" s="49">
        <f t="shared" si="9"/>
        <v>0</v>
      </c>
      <c r="S10" s="37"/>
      <c r="T10" s="49">
        <f t="shared" si="10"/>
        <v>0</v>
      </c>
      <c r="U10" s="37"/>
      <c r="V10" s="49">
        <f t="shared" si="11"/>
        <v>0</v>
      </c>
      <c r="W10" s="37"/>
      <c r="X10" s="49">
        <f t="shared" si="12"/>
        <v>0</v>
      </c>
      <c r="Y10" s="37"/>
      <c r="Z10" s="49">
        <f t="shared" si="13"/>
        <v>0</v>
      </c>
      <c r="AA10" s="405">
        <f t="shared" si="0"/>
        <v>0</v>
      </c>
      <c r="AB10" s="416">
        <f t="shared" si="14"/>
        <v>0</v>
      </c>
      <c r="AC10" s="407">
        <f t="shared" si="1"/>
        <v>0</v>
      </c>
      <c r="AD10" s="417">
        <f t="shared" si="15"/>
        <v>0</v>
      </c>
      <c r="AE10" s="214"/>
      <c r="AF10" s="54"/>
      <c r="AH10" s="21">
        <f t="shared" si="2"/>
        <v>0</v>
      </c>
    </row>
    <row r="11" spans="1:34" s="289" customFormat="1" ht="21.75" customHeight="1">
      <c r="A11" s="289">
        <v>5103</v>
      </c>
      <c r="B11" s="363" t="s">
        <v>63</v>
      </c>
      <c r="C11" s="46"/>
      <c r="D11" s="49">
        <f>C11/C$5</f>
        <v>0</v>
      </c>
      <c r="E11" s="61"/>
      <c r="F11" s="49">
        <f t="shared" si="3"/>
        <v>0</v>
      </c>
      <c r="G11" s="46"/>
      <c r="H11" s="49">
        <f t="shared" si="4"/>
        <v>0</v>
      </c>
      <c r="I11" s="46"/>
      <c r="J11" s="49">
        <f t="shared" si="5"/>
        <v>0</v>
      </c>
      <c r="K11" s="21"/>
      <c r="L11" s="49">
        <f t="shared" si="6"/>
        <v>0</v>
      </c>
      <c r="M11" s="21"/>
      <c r="N11" s="49">
        <f t="shared" si="7"/>
        <v>0</v>
      </c>
      <c r="O11" s="21"/>
      <c r="P11" s="49">
        <f t="shared" si="8"/>
        <v>0</v>
      </c>
      <c r="Q11" s="37">
        <v>0</v>
      </c>
      <c r="R11" s="49">
        <f t="shared" si="9"/>
        <v>0</v>
      </c>
      <c r="S11" s="37"/>
      <c r="T11" s="49">
        <f t="shared" si="10"/>
        <v>0</v>
      </c>
      <c r="U11" s="37"/>
      <c r="V11" s="49">
        <f t="shared" si="11"/>
        <v>0</v>
      </c>
      <c r="W11" s="37"/>
      <c r="X11" s="49">
        <f t="shared" si="12"/>
        <v>0</v>
      </c>
      <c r="Y11" s="37"/>
      <c r="Z11" s="49">
        <f t="shared" si="13"/>
        <v>0</v>
      </c>
      <c r="AA11" s="405">
        <f t="shared" si="0"/>
        <v>0</v>
      </c>
      <c r="AB11" s="416">
        <f t="shared" si="14"/>
        <v>0</v>
      </c>
      <c r="AC11" s="407">
        <f t="shared" si="1"/>
        <v>0</v>
      </c>
      <c r="AD11" s="417">
        <f t="shared" si="15"/>
        <v>0</v>
      </c>
      <c r="AE11" s="213"/>
      <c r="AF11" s="54"/>
      <c r="AH11" s="21">
        <f t="shared" si="2"/>
        <v>0</v>
      </c>
    </row>
    <row r="12" spans="1:34" s="289" customFormat="1" ht="21.75" customHeight="1" thickBot="1">
      <c r="A12" s="7">
        <v>5149</v>
      </c>
      <c r="B12" s="364" t="s">
        <v>66</v>
      </c>
      <c r="C12" s="419">
        <f>C5+C6-C7-C8-C9-C10+C11</f>
        <v>133842</v>
      </c>
      <c r="D12" s="420">
        <f>C12/C12</f>
        <v>1</v>
      </c>
      <c r="E12" s="419">
        <f>E5+E6-E7-E8-E9-E10+E11</f>
        <v>104129.550016693</v>
      </c>
      <c r="F12" s="420">
        <f>E12/E12</f>
        <v>1</v>
      </c>
      <c r="G12" s="419">
        <f>G5+G6-G7-G8-G9-G10+G11</f>
        <v>172727.76451794204</v>
      </c>
      <c r="H12" s="421">
        <f>G12/G12</f>
        <v>1</v>
      </c>
      <c r="I12" s="419">
        <f>I5+I6-I7-I8-I9-I10+I11</f>
        <v>152517.62566567099</v>
      </c>
      <c r="J12" s="420">
        <f>I12/I12</f>
        <v>1</v>
      </c>
      <c r="K12" s="419">
        <f>K5+K6-K7-K8-K9-K10+K11</f>
        <v>139492.905775283</v>
      </c>
      <c r="L12" s="420">
        <f>K12/K12</f>
        <v>1</v>
      </c>
      <c r="M12" s="419">
        <f>M5+M6-M7-M8-M9-M10+M11</f>
        <v>197799.00907924699</v>
      </c>
      <c r="N12" s="420">
        <f>M12/M12</f>
        <v>1</v>
      </c>
      <c r="O12" s="419">
        <f>O5+O6-O7-O8-O9-O10+O11</f>
        <v>125228.63371015</v>
      </c>
      <c r="P12" s="420">
        <f>O12/O12</f>
        <v>1</v>
      </c>
      <c r="Q12" s="419">
        <f>Q5+Q6-Q7-Q8-Q9-Q10+Q11</f>
        <v>155501.28327721899</v>
      </c>
      <c r="R12" s="420">
        <f>Q12/Q12</f>
        <v>1</v>
      </c>
      <c r="S12" s="419">
        <f>S5+S6-S7-S8-S9-S10+S11</f>
        <v>156648.77013106801</v>
      </c>
      <c r="T12" s="420">
        <f>S12/S12</f>
        <v>1</v>
      </c>
      <c r="U12" s="419">
        <f>U5+U6-U7-U8-U9-U10+U11</f>
        <v>124254.827269439</v>
      </c>
      <c r="V12" s="421">
        <f>U12/U12</f>
        <v>1</v>
      </c>
      <c r="W12" s="419">
        <f>W5+W6-W7-W8-W9-W10+W11</f>
        <v>126422.021482401</v>
      </c>
      <c r="X12" s="421">
        <f>W12/W12</f>
        <v>1</v>
      </c>
      <c r="Y12" s="419">
        <f>Y5+Y6-Y7-Y8-Y9-Y10+Y11</f>
        <v>190981.13120585302</v>
      </c>
      <c r="Z12" s="421">
        <f>Y12/Y12</f>
        <v>1</v>
      </c>
      <c r="AA12" s="422">
        <f>AA5+AA6-AA7-AA8-AA9-AA10+AA11</f>
        <v>1779545.5221309662</v>
      </c>
      <c r="AB12" s="423">
        <f>AA12/AA12</f>
        <v>1</v>
      </c>
      <c r="AC12" s="424">
        <f t="shared" si="1"/>
        <v>148295.46017758051</v>
      </c>
      <c r="AD12" s="425">
        <f>AC12/AC12</f>
        <v>1</v>
      </c>
      <c r="AE12" s="218" t="s">
        <v>173</v>
      </c>
      <c r="AF12" s="219">
        <f>AA12/365*5.09</f>
        <v>24816.12796615512</v>
      </c>
      <c r="AG12" s="209" t="s">
        <v>103</v>
      </c>
      <c r="AH12" s="21">
        <f t="shared" si="2"/>
        <v>791501.53188104462</v>
      </c>
    </row>
    <row r="13" spans="1:34" s="289" customFormat="1" ht="21.75" customHeight="1" thickTop="1">
      <c r="A13" s="289">
        <v>5151</v>
      </c>
      <c r="B13" s="363" t="s">
        <v>47</v>
      </c>
      <c r="C13" s="418"/>
      <c r="D13" s="408"/>
      <c r="E13" s="418"/>
      <c r="F13" s="408"/>
      <c r="G13" s="418"/>
      <c r="H13" s="408"/>
      <c r="I13" s="418"/>
      <c r="J13" s="408"/>
      <c r="K13" s="397"/>
      <c r="L13" s="408"/>
      <c r="M13" s="397"/>
      <c r="N13" s="408"/>
      <c r="O13" s="397"/>
      <c r="P13" s="408"/>
      <c r="Q13" s="412"/>
      <c r="R13" s="408"/>
      <c r="S13" s="412"/>
      <c r="T13" s="408"/>
      <c r="U13" s="412"/>
      <c r="V13" s="408"/>
      <c r="W13" s="412"/>
      <c r="X13" s="408"/>
      <c r="Y13" s="412"/>
      <c r="Z13" s="408"/>
      <c r="AA13" s="405">
        <f>C13+E13+G13+I13+K13+M13+O13+Q13+S13+U13+W13+Y13</f>
        <v>0</v>
      </c>
      <c r="AB13" s="413"/>
      <c r="AC13" s="407">
        <f t="shared" si="1"/>
        <v>0</v>
      </c>
      <c r="AD13" s="414"/>
      <c r="AE13" s="213"/>
      <c r="AF13" s="54"/>
      <c r="AH13" s="21">
        <f t="shared" si="2"/>
        <v>0</v>
      </c>
    </row>
    <row r="14" spans="1:34" s="289" customFormat="1" ht="21.75" customHeight="1">
      <c r="A14" s="289">
        <v>5152</v>
      </c>
      <c r="B14" s="363" t="s">
        <v>48</v>
      </c>
      <c r="C14" s="418"/>
      <c r="D14" s="408"/>
      <c r="E14" s="418"/>
      <c r="F14" s="408"/>
      <c r="G14" s="418"/>
      <c r="H14" s="408"/>
      <c r="I14" s="418"/>
      <c r="J14" s="408"/>
      <c r="K14" s="397"/>
      <c r="L14" s="408"/>
      <c r="M14" s="397"/>
      <c r="N14" s="408"/>
      <c r="O14" s="397"/>
      <c r="P14" s="408"/>
      <c r="Q14" s="412"/>
      <c r="R14" s="408"/>
      <c r="S14" s="412"/>
      <c r="T14" s="408"/>
      <c r="U14" s="412"/>
      <c r="V14" s="408"/>
      <c r="W14" s="412"/>
      <c r="X14" s="408"/>
      <c r="Y14" s="412"/>
      <c r="Z14" s="408"/>
      <c r="AA14" s="405">
        <f>C14+E14+G14+I14+K14+M14+O14+Q14+S14+U14+W14+Y14</f>
        <v>0</v>
      </c>
      <c r="AB14" s="413"/>
      <c r="AC14" s="407">
        <f t="shared" si="1"/>
        <v>0</v>
      </c>
      <c r="AD14" s="414"/>
      <c r="AE14" s="213"/>
      <c r="AF14" s="54"/>
      <c r="AH14" s="21">
        <f t="shared" si="2"/>
        <v>0</v>
      </c>
    </row>
    <row r="15" spans="1:34" s="289" customFormat="1" ht="21.75" customHeight="1" thickBot="1">
      <c r="A15" s="39">
        <v>5198</v>
      </c>
      <c r="B15" s="365" t="s">
        <v>107</v>
      </c>
      <c r="C15" s="426">
        <f>C13+C14</f>
        <v>0</v>
      </c>
      <c r="D15" s="427"/>
      <c r="E15" s="426">
        <f>E13+E14</f>
        <v>0</v>
      </c>
      <c r="F15" s="427"/>
      <c r="G15" s="426">
        <f>G13+G14</f>
        <v>0</v>
      </c>
      <c r="H15" s="427"/>
      <c r="I15" s="426">
        <f>I13+I14</f>
        <v>0</v>
      </c>
      <c r="J15" s="427"/>
      <c r="K15" s="428">
        <f>K13+K14</f>
        <v>0</v>
      </c>
      <c r="L15" s="427"/>
      <c r="M15" s="428">
        <f>M13+M14</f>
        <v>0</v>
      </c>
      <c r="N15" s="427"/>
      <c r="O15" s="428">
        <f>O13+O14</f>
        <v>0</v>
      </c>
      <c r="P15" s="427"/>
      <c r="Q15" s="429">
        <f>Q13+Q14</f>
        <v>0</v>
      </c>
      <c r="R15" s="427"/>
      <c r="S15" s="429">
        <f>S13+S14</f>
        <v>0</v>
      </c>
      <c r="T15" s="427"/>
      <c r="U15" s="429">
        <f>U13+U14</f>
        <v>0</v>
      </c>
      <c r="V15" s="427"/>
      <c r="W15" s="429">
        <f>W13+W14</f>
        <v>0</v>
      </c>
      <c r="X15" s="427"/>
      <c r="Y15" s="429">
        <f>Y13+Y14</f>
        <v>0</v>
      </c>
      <c r="Z15" s="427"/>
      <c r="AA15" s="422">
        <f>AA13+AA14</f>
        <v>0</v>
      </c>
      <c r="AB15" s="430"/>
      <c r="AC15" s="424">
        <f t="shared" si="1"/>
        <v>0</v>
      </c>
      <c r="AD15" s="431"/>
      <c r="AE15" s="213"/>
      <c r="AF15" s="54"/>
      <c r="AH15" s="21">
        <f t="shared" si="2"/>
        <v>0</v>
      </c>
    </row>
    <row r="16" spans="1:34" s="289" customFormat="1" ht="21.75" customHeight="1" thickTop="1" thickBot="1">
      <c r="A16" s="41">
        <v>5199</v>
      </c>
      <c r="B16" s="366" t="s">
        <v>70</v>
      </c>
      <c r="C16" s="432">
        <f>C12+C15</f>
        <v>133842</v>
      </c>
      <c r="D16" s="433">
        <f>C16/C12</f>
        <v>1</v>
      </c>
      <c r="E16" s="432">
        <f>E12+E15</f>
        <v>104129.550016693</v>
      </c>
      <c r="F16" s="433">
        <f>E16/E12</f>
        <v>1</v>
      </c>
      <c r="G16" s="432">
        <f>G12+G15</f>
        <v>172727.76451794204</v>
      </c>
      <c r="H16" s="433">
        <f>G16/G12</f>
        <v>1</v>
      </c>
      <c r="I16" s="432">
        <f>I12+I15</f>
        <v>152517.62566567099</v>
      </c>
      <c r="J16" s="433">
        <f>I16/I12</f>
        <v>1</v>
      </c>
      <c r="K16" s="434">
        <f>K12+K15</f>
        <v>139492.905775283</v>
      </c>
      <c r="L16" s="433">
        <f>K16/K12</f>
        <v>1</v>
      </c>
      <c r="M16" s="434">
        <f>M12+M15</f>
        <v>197799.00907924699</v>
      </c>
      <c r="N16" s="433">
        <f>M16/M12</f>
        <v>1</v>
      </c>
      <c r="O16" s="434">
        <f>O12+O15</f>
        <v>125228.63371015</v>
      </c>
      <c r="P16" s="433">
        <f>O16/O12</f>
        <v>1</v>
      </c>
      <c r="Q16" s="435">
        <f>Q12+Q15</f>
        <v>155501.28327721899</v>
      </c>
      <c r="R16" s="433">
        <f>Q16/Q12</f>
        <v>1</v>
      </c>
      <c r="S16" s="435">
        <f>S12+S15</f>
        <v>156648.77013106801</v>
      </c>
      <c r="T16" s="433">
        <f>S16/S12</f>
        <v>1</v>
      </c>
      <c r="U16" s="435">
        <f>U12+U15</f>
        <v>124254.827269439</v>
      </c>
      <c r="V16" s="433">
        <f>U16/U12</f>
        <v>1</v>
      </c>
      <c r="W16" s="435">
        <f>W12+W15</f>
        <v>126422.021482401</v>
      </c>
      <c r="X16" s="433">
        <f>W16/W12</f>
        <v>1</v>
      </c>
      <c r="Y16" s="435">
        <f>Y12+Y15</f>
        <v>190981.13120585302</v>
      </c>
      <c r="Z16" s="433">
        <f>Y16/Y12</f>
        <v>1</v>
      </c>
      <c r="AA16" s="436">
        <f>AA12+AA15</f>
        <v>1779545.5221309662</v>
      </c>
      <c r="AB16" s="437">
        <f>AA16/AA12</f>
        <v>1</v>
      </c>
      <c r="AC16" s="438">
        <f t="shared" si="1"/>
        <v>148295.46017758051</v>
      </c>
      <c r="AD16" s="439">
        <f>AC16/AC12</f>
        <v>1</v>
      </c>
      <c r="AE16" s="218" t="s">
        <v>173</v>
      </c>
      <c r="AF16" s="220">
        <v>0.52810000000000001</v>
      </c>
      <c r="AG16" s="209" t="s">
        <v>175</v>
      </c>
      <c r="AH16" s="21">
        <f t="shared" si="2"/>
        <v>791501.53188104462</v>
      </c>
    </row>
    <row r="17" spans="1:34" s="289" customFormat="1" ht="21.75" customHeight="1" thickTop="1">
      <c r="A17" s="13">
        <v>5502</v>
      </c>
      <c r="B17" s="361" t="s">
        <v>49</v>
      </c>
      <c r="C17" s="189">
        <f>C12*50%</f>
        <v>66921</v>
      </c>
      <c r="D17" s="49">
        <f>C17/C12</f>
        <v>0.5</v>
      </c>
      <c r="E17" s="189">
        <f>E12*49%</f>
        <v>51023.479508179567</v>
      </c>
      <c r="F17" s="49">
        <f>E17/E12</f>
        <v>0.49</v>
      </c>
      <c r="G17" s="189">
        <f>G12*52%</f>
        <v>89818.437549329858</v>
      </c>
      <c r="H17" s="49">
        <f>G17/G12</f>
        <v>0.52</v>
      </c>
      <c r="I17" s="189">
        <f>I12*53.46%</f>
        <v>81535.922680867705</v>
      </c>
      <c r="J17" s="49">
        <f>I17/I12</f>
        <v>0.53459999999999996</v>
      </c>
      <c r="K17" s="189">
        <f>K12*46.43%</f>
        <v>64766.556151463898</v>
      </c>
      <c r="L17" s="49">
        <f>K17/K12</f>
        <v>0.46429999999999999</v>
      </c>
      <c r="M17" s="189">
        <f>M12*57.54%</f>
        <v>113813.54982419872</v>
      </c>
      <c r="N17" s="49">
        <f>M17/M12</f>
        <v>0.57540000000000002</v>
      </c>
      <c r="O17" s="189">
        <f>O12*52.79%</f>
        <v>66108.19573558819</v>
      </c>
      <c r="P17" s="49">
        <f>O17/O12</f>
        <v>0.52790000000000004</v>
      </c>
      <c r="Q17" s="189">
        <f>Q12*51.66%</f>
        <v>80331.962941011327</v>
      </c>
      <c r="R17" s="49">
        <f>Q17/Q12</f>
        <v>0.51659999999999995</v>
      </c>
      <c r="S17" s="189">
        <f>S12*57.26%</f>
        <v>89697.08577704955</v>
      </c>
      <c r="T17" s="49">
        <f>S17/S12</f>
        <v>0.5726</v>
      </c>
      <c r="U17" s="189">
        <f>U12*47.12%</f>
        <v>58548.874609359649</v>
      </c>
      <c r="V17" s="49">
        <f>U17/U12</f>
        <v>0.47119999999999995</v>
      </c>
      <c r="W17" s="189">
        <f>W12*45.04%</f>
        <v>56940.478475673408</v>
      </c>
      <c r="X17" s="49">
        <f>W17/W12</f>
        <v>0.45039999999999997</v>
      </c>
      <c r="Y17" s="189">
        <f>Y12*50.28%</f>
        <v>96025.312770302902</v>
      </c>
      <c r="Z17" s="49">
        <f>Y17/Y12</f>
        <v>0.50280000000000002</v>
      </c>
      <c r="AA17" s="405">
        <f>C17+E17+G17+I17+K17+M17+O17+Q17+S17+U17+W17+Y17</f>
        <v>915530.85602302465</v>
      </c>
      <c r="AB17" s="416">
        <f>AA17/AA12</f>
        <v>0.51447453556945077</v>
      </c>
      <c r="AC17" s="407">
        <f t="shared" si="1"/>
        <v>76294.238001918726</v>
      </c>
      <c r="AD17" s="417">
        <f>AC17/AC12</f>
        <v>0.51447453556945089</v>
      </c>
      <c r="AE17" s="160"/>
      <c r="AF17" s="64"/>
      <c r="AH17" s="21">
        <f t="shared" si="2"/>
        <v>408889.69136974763</v>
      </c>
    </row>
    <row r="18" spans="1:34" s="289" customFormat="1" ht="21.75" customHeight="1">
      <c r="A18" s="3">
        <v>5503</v>
      </c>
      <c r="B18" s="367" t="s">
        <v>50</v>
      </c>
      <c r="C18" s="418"/>
      <c r="D18" s="408"/>
      <c r="E18" s="418"/>
      <c r="F18" s="408"/>
      <c r="G18" s="418"/>
      <c r="H18" s="408"/>
      <c r="I18" s="418"/>
      <c r="J18" s="408"/>
      <c r="K18" s="397"/>
      <c r="L18" s="408"/>
      <c r="M18" s="397"/>
      <c r="N18" s="408"/>
      <c r="O18" s="397"/>
      <c r="P18" s="408"/>
      <c r="Q18" s="412"/>
      <c r="R18" s="408"/>
      <c r="S18" s="412"/>
      <c r="T18" s="408">
        <v>0</v>
      </c>
      <c r="U18" s="412"/>
      <c r="V18" s="408"/>
      <c r="W18" s="412"/>
      <c r="X18" s="408"/>
      <c r="Y18" s="412"/>
      <c r="Z18" s="408"/>
      <c r="AA18" s="405">
        <f>C18+E18+G18+I18+K18+M18+O18+Q18+S18+U18+W18+Y18</f>
        <v>0</v>
      </c>
      <c r="AB18" s="413"/>
      <c r="AC18" s="407">
        <f t="shared" si="1"/>
        <v>0</v>
      </c>
      <c r="AD18" s="414"/>
      <c r="AE18" s="213"/>
      <c r="AF18" s="54"/>
      <c r="AH18" s="21">
        <f t="shared" si="2"/>
        <v>0</v>
      </c>
    </row>
    <row r="19" spans="1:34" s="289" customFormat="1" ht="21.75" customHeight="1">
      <c r="A19" s="3">
        <v>5504</v>
      </c>
      <c r="B19" s="367" t="s">
        <v>51</v>
      </c>
      <c r="C19" s="418"/>
      <c r="D19" s="415">
        <f>C19/C12</f>
        <v>0</v>
      </c>
      <c r="E19" s="418"/>
      <c r="F19" s="415">
        <f>E19/E12</f>
        <v>0</v>
      </c>
      <c r="G19" s="363"/>
      <c r="H19" s="415">
        <f>G19/G12</f>
        <v>0</v>
      </c>
      <c r="I19" s="418"/>
      <c r="J19" s="415">
        <f>I19/I12</f>
        <v>0</v>
      </c>
      <c r="K19" s="397"/>
      <c r="L19" s="415">
        <f>K19/K12</f>
        <v>0</v>
      </c>
      <c r="M19" s="397"/>
      <c r="N19" s="415">
        <f>M19/M12</f>
        <v>0</v>
      </c>
      <c r="O19" s="397">
        <v>0</v>
      </c>
      <c r="P19" s="415">
        <f>O19/O12</f>
        <v>0</v>
      </c>
      <c r="Q19" s="412">
        <v>0</v>
      </c>
      <c r="R19" s="415">
        <f>Q19/Q12</f>
        <v>0</v>
      </c>
      <c r="S19" s="412"/>
      <c r="T19" s="415">
        <f>S19/S12</f>
        <v>0</v>
      </c>
      <c r="U19" s="412"/>
      <c r="V19" s="415">
        <f>U19/U12</f>
        <v>0</v>
      </c>
      <c r="W19" s="412"/>
      <c r="X19" s="415">
        <f>W19/W12</f>
        <v>0</v>
      </c>
      <c r="Y19" s="412"/>
      <c r="Z19" s="415">
        <f>Y19/Y12</f>
        <v>0</v>
      </c>
      <c r="AA19" s="405">
        <f>C19+E19+G19+I19+K19+M19+O19+Q19+S19+U19+W19+Y19</f>
        <v>0</v>
      </c>
      <c r="AB19" s="416">
        <f>AA19/AA12</f>
        <v>0</v>
      </c>
      <c r="AC19" s="407">
        <f t="shared" si="1"/>
        <v>0</v>
      </c>
      <c r="AD19" s="417">
        <f>AC19/AC12</f>
        <v>0</v>
      </c>
      <c r="AE19" s="214"/>
      <c r="AF19" s="54"/>
      <c r="AH19" s="21">
        <f t="shared" si="2"/>
        <v>0</v>
      </c>
    </row>
    <row r="20" spans="1:34" s="289" customFormat="1" ht="21.75" customHeight="1">
      <c r="A20" s="3">
        <v>5505</v>
      </c>
      <c r="B20" s="367" t="s">
        <v>52</v>
      </c>
      <c r="C20" s="418"/>
      <c r="D20" s="408"/>
      <c r="E20" s="418"/>
      <c r="F20" s="408"/>
      <c r="G20" s="418"/>
      <c r="H20" s="408"/>
      <c r="I20" s="418"/>
      <c r="J20" s="408"/>
      <c r="K20" s="397"/>
      <c r="L20" s="408"/>
      <c r="M20" s="397"/>
      <c r="N20" s="408"/>
      <c r="O20" s="397"/>
      <c r="P20" s="408"/>
      <c r="Q20" s="412"/>
      <c r="R20" s="408"/>
      <c r="S20" s="412"/>
      <c r="T20" s="408"/>
      <c r="U20" s="412"/>
      <c r="V20" s="408"/>
      <c r="W20" s="412"/>
      <c r="X20" s="408"/>
      <c r="Y20" s="412"/>
      <c r="Z20" s="408"/>
      <c r="AA20" s="405">
        <f>C20+E20+G20+I20+K20+M20+O20+Q20+S20+U20+W20+Y20</f>
        <v>0</v>
      </c>
      <c r="AB20" s="413"/>
      <c r="AC20" s="407">
        <f t="shared" si="1"/>
        <v>0</v>
      </c>
      <c r="AD20" s="414"/>
      <c r="AE20" s="213"/>
      <c r="AF20" s="54"/>
      <c r="AH20" s="21">
        <f t="shared" si="2"/>
        <v>0</v>
      </c>
    </row>
    <row r="21" spans="1:34" s="289" customFormat="1" ht="21.75" customHeight="1" thickBot="1">
      <c r="A21" s="8">
        <v>5599</v>
      </c>
      <c r="B21" s="368" t="s">
        <v>108</v>
      </c>
      <c r="C21" s="419">
        <f>SUM(C17:C20)</f>
        <v>66921</v>
      </c>
      <c r="D21" s="421">
        <f>C21/C12</f>
        <v>0.5</v>
      </c>
      <c r="E21" s="419">
        <f>SUM(E17:E20)</f>
        <v>51023.479508179567</v>
      </c>
      <c r="F21" s="421">
        <f>E21/E12</f>
        <v>0.49</v>
      </c>
      <c r="G21" s="419">
        <f>SUM(G17:G20)</f>
        <v>89818.437549329858</v>
      </c>
      <c r="H21" s="421">
        <f>G21/G12</f>
        <v>0.52</v>
      </c>
      <c r="I21" s="419">
        <f>SUM(I17:I20)</f>
        <v>81535.922680867705</v>
      </c>
      <c r="J21" s="421">
        <f>I21/I12</f>
        <v>0.53459999999999996</v>
      </c>
      <c r="K21" s="442">
        <f>SUM(K17:K20)</f>
        <v>64766.556151463898</v>
      </c>
      <c r="L21" s="421">
        <f>K21/K12</f>
        <v>0.46429999999999999</v>
      </c>
      <c r="M21" s="442">
        <f>SUM(M17:M20)</f>
        <v>113813.54982419872</v>
      </c>
      <c r="N21" s="421">
        <f>M21/M12</f>
        <v>0.57540000000000002</v>
      </c>
      <c r="O21" s="442">
        <f>SUM(O17:O20)</f>
        <v>66108.19573558819</v>
      </c>
      <c r="P21" s="421">
        <f>O21/O12</f>
        <v>0.52790000000000004</v>
      </c>
      <c r="Q21" s="419">
        <f>SUM(Q17:Q20)</f>
        <v>80331.962941011327</v>
      </c>
      <c r="R21" s="421">
        <f>Q21/Q12</f>
        <v>0.51659999999999995</v>
      </c>
      <c r="S21" s="419">
        <f>SUM(S17:S20)</f>
        <v>89697.08577704955</v>
      </c>
      <c r="T21" s="421">
        <f>S21/S12</f>
        <v>0.5726</v>
      </c>
      <c r="U21" s="419">
        <f>SUM(U17:U20)</f>
        <v>58548.874609359649</v>
      </c>
      <c r="V21" s="421">
        <f>U21/U12</f>
        <v>0.47119999999999995</v>
      </c>
      <c r="W21" s="419">
        <f>SUM(W17:W20)</f>
        <v>56940.478475673408</v>
      </c>
      <c r="X21" s="421">
        <f>W21/W12</f>
        <v>0.45039999999999997</v>
      </c>
      <c r="Y21" s="419">
        <f>SUM(Y17:Y20)</f>
        <v>96025.312770302902</v>
      </c>
      <c r="Z21" s="421">
        <f>Y21/Y12</f>
        <v>0.50280000000000002</v>
      </c>
      <c r="AA21" s="422">
        <f>SUM(AA17:AA20)</f>
        <v>915530.85602302465</v>
      </c>
      <c r="AB21" s="423">
        <f>AA21/AA12</f>
        <v>0.51447453556945077</v>
      </c>
      <c r="AC21" s="424">
        <f t="shared" si="1"/>
        <v>76294.238001918726</v>
      </c>
      <c r="AD21" s="425">
        <f>AC21/AC12</f>
        <v>0.51447453556945089</v>
      </c>
      <c r="AE21" s="218"/>
      <c r="AF21" s="219"/>
      <c r="AG21" s="209"/>
      <c r="AH21" s="21">
        <f t="shared" si="2"/>
        <v>408889.69136974763</v>
      </c>
    </row>
    <row r="22" spans="1:34" s="289" customFormat="1" ht="21.75" customHeight="1" thickTop="1">
      <c r="A22" s="3">
        <v>5601</v>
      </c>
      <c r="B22" s="367" t="s">
        <v>53</v>
      </c>
      <c r="C22" s="418"/>
      <c r="D22" s="415">
        <f t="shared" ref="D22:D34" si="16">C22/C$12</f>
        <v>0</v>
      </c>
      <c r="E22" s="418"/>
      <c r="F22" s="415">
        <f t="shared" ref="F22:F35" si="17">E22/E$12</f>
        <v>0</v>
      </c>
      <c r="G22" s="418"/>
      <c r="H22" s="415">
        <f t="shared" ref="H22:H34" si="18">G22/G$12</f>
        <v>0</v>
      </c>
      <c r="I22" s="418"/>
      <c r="J22" s="415">
        <f t="shared" ref="J22:J34" si="19">I22/I$12</f>
        <v>0</v>
      </c>
      <c r="K22" s="418"/>
      <c r="L22" s="415">
        <f t="shared" ref="L22:L34" si="20">K22/K$12</f>
        <v>0</v>
      </c>
      <c r="M22" s="418"/>
      <c r="N22" s="415">
        <f t="shared" ref="N22:N34" si="21">M22/M$12</f>
        <v>0</v>
      </c>
      <c r="O22" s="418"/>
      <c r="P22" s="415">
        <f t="shared" ref="P22:P34" si="22">O22/O$12</f>
        <v>0</v>
      </c>
      <c r="Q22" s="418"/>
      <c r="R22" s="415">
        <f>Q22/Q$12</f>
        <v>0</v>
      </c>
      <c r="S22" s="418"/>
      <c r="T22" s="415">
        <f t="shared" ref="T22:T34" si="23">S22/S$12</f>
        <v>0</v>
      </c>
      <c r="U22" s="418"/>
      <c r="V22" s="415">
        <f t="shared" ref="V22:V34" si="24">U22/U$12</f>
        <v>0</v>
      </c>
      <c r="W22" s="418"/>
      <c r="X22" s="415">
        <f>W22/W$12</f>
        <v>0</v>
      </c>
      <c r="Y22" s="418"/>
      <c r="Z22" s="415">
        <f t="shared" ref="Z22:Z34" si="25">Y22/Y$12</f>
        <v>0</v>
      </c>
      <c r="AA22" s="405">
        <f t="shared" ref="AA22:AA34" si="26">C22+E22+G22+I22+K22+M22+O22+Q22+S22+U22+W22+Y22</f>
        <v>0</v>
      </c>
      <c r="AB22" s="416">
        <f t="shared" ref="AB22:AB34" si="27">AA22/AA$12</f>
        <v>0</v>
      </c>
      <c r="AC22" s="407">
        <f t="shared" si="1"/>
        <v>0</v>
      </c>
      <c r="AD22" s="417">
        <f t="shared" ref="AD22:AD34" si="28">AC22/AC$12</f>
        <v>0</v>
      </c>
      <c r="AE22" s="214"/>
      <c r="AF22" s="54"/>
      <c r="AH22" s="21">
        <f t="shared" si="2"/>
        <v>0</v>
      </c>
    </row>
    <row r="23" spans="1:34" s="289" customFormat="1" ht="21.75" customHeight="1">
      <c r="A23" s="3">
        <v>5602</v>
      </c>
      <c r="B23" s="367" t="s">
        <v>54</v>
      </c>
      <c r="C23" s="418"/>
      <c r="D23" s="415">
        <f t="shared" si="16"/>
        <v>0</v>
      </c>
      <c r="E23" s="418"/>
      <c r="F23" s="415">
        <f t="shared" si="17"/>
        <v>0</v>
      </c>
      <c r="G23" s="418"/>
      <c r="H23" s="415">
        <f t="shared" si="18"/>
        <v>0</v>
      </c>
      <c r="I23" s="418"/>
      <c r="J23" s="415">
        <f t="shared" si="19"/>
        <v>0</v>
      </c>
      <c r="K23" s="418"/>
      <c r="L23" s="415">
        <f t="shared" si="20"/>
        <v>0</v>
      </c>
      <c r="M23" s="418"/>
      <c r="N23" s="415">
        <f t="shared" si="21"/>
        <v>0</v>
      </c>
      <c r="O23" s="418"/>
      <c r="P23" s="415">
        <f t="shared" si="22"/>
        <v>0</v>
      </c>
      <c r="Q23" s="418"/>
      <c r="R23" s="415">
        <f>Q23/Q$12</f>
        <v>0</v>
      </c>
      <c r="S23" s="418"/>
      <c r="T23" s="415">
        <f t="shared" si="23"/>
        <v>0</v>
      </c>
      <c r="U23" s="418"/>
      <c r="V23" s="415">
        <f t="shared" si="24"/>
        <v>0</v>
      </c>
      <c r="W23" s="418"/>
      <c r="X23" s="415">
        <f>W23/W$12</f>
        <v>0</v>
      </c>
      <c r="Y23" s="418"/>
      <c r="Z23" s="415">
        <f t="shared" si="25"/>
        <v>0</v>
      </c>
      <c r="AA23" s="405">
        <f t="shared" si="26"/>
        <v>0</v>
      </c>
      <c r="AB23" s="416">
        <f t="shared" si="27"/>
        <v>0</v>
      </c>
      <c r="AC23" s="407">
        <f t="shared" si="1"/>
        <v>0</v>
      </c>
      <c r="AD23" s="417">
        <f t="shared" si="28"/>
        <v>0</v>
      </c>
      <c r="AE23" s="214"/>
      <c r="AF23" s="54"/>
      <c r="AH23" s="21">
        <f t="shared" si="2"/>
        <v>0</v>
      </c>
    </row>
    <row r="24" spans="1:34" s="289" customFormat="1" ht="21.75" customHeight="1">
      <c r="A24" s="3">
        <v>5603</v>
      </c>
      <c r="B24" s="367" t="s">
        <v>55</v>
      </c>
      <c r="C24" s="418">
        <v>0</v>
      </c>
      <c r="D24" s="415">
        <f t="shared" si="16"/>
        <v>0</v>
      </c>
      <c r="E24" s="418">
        <v>0</v>
      </c>
      <c r="F24" s="415">
        <f t="shared" si="17"/>
        <v>0</v>
      </c>
      <c r="G24" s="418">
        <v>0</v>
      </c>
      <c r="H24" s="415">
        <f t="shared" si="18"/>
        <v>0</v>
      </c>
      <c r="I24" s="418">
        <v>0</v>
      </c>
      <c r="J24" s="415">
        <f t="shared" si="19"/>
        <v>0</v>
      </c>
      <c r="K24" s="418">
        <v>0</v>
      </c>
      <c r="L24" s="415">
        <f t="shared" si="20"/>
        <v>0</v>
      </c>
      <c r="M24" s="418">
        <v>0</v>
      </c>
      <c r="N24" s="415">
        <f t="shared" si="21"/>
        <v>0</v>
      </c>
      <c r="O24" s="418">
        <v>0</v>
      </c>
      <c r="P24" s="415">
        <f t="shared" si="22"/>
        <v>0</v>
      </c>
      <c r="Q24" s="418">
        <v>0</v>
      </c>
      <c r="R24" s="415">
        <f>Q24/Q$12</f>
        <v>0</v>
      </c>
      <c r="S24" s="418">
        <v>0</v>
      </c>
      <c r="T24" s="415">
        <f t="shared" si="23"/>
        <v>0</v>
      </c>
      <c r="U24" s="418">
        <v>0</v>
      </c>
      <c r="V24" s="415">
        <f t="shared" si="24"/>
        <v>0</v>
      </c>
      <c r="W24" s="418">
        <v>0</v>
      </c>
      <c r="X24" s="415">
        <f>W24/W$12</f>
        <v>0</v>
      </c>
      <c r="Y24" s="418">
        <v>0</v>
      </c>
      <c r="Z24" s="415">
        <f t="shared" si="25"/>
        <v>0</v>
      </c>
      <c r="AA24" s="405">
        <f t="shared" si="26"/>
        <v>0</v>
      </c>
      <c r="AB24" s="416">
        <f t="shared" si="27"/>
        <v>0</v>
      </c>
      <c r="AC24" s="407">
        <f t="shared" si="1"/>
        <v>0</v>
      </c>
      <c r="AD24" s="417">
        <f t="shared" si="28"/>
        <v>0</v>
      </c>
      <c r="AE24" s="214"/>
      <c r="AF24" s="54"/>
      <c r="AH24" s="21">
        <f t="shared" si="2"/>
        <v>0</v>
      </c>
    </row>
    <row r="25" spans="1:34" s="289" customFormat="1" ht="21.75" customHeight="1">
      <c r="A25" s="3">
        <v>5604</v>
      </c>
      <c r="B25" s="367" t="s">
        <v>56</v>
      </c>
      <c r="C25" s="46">
        <v>150</v>
      </c>
      <c r="D25" s="49">
        <f t="shared" si="16"/>
        <v>1.1207244362756085E-3</v>
      </c>
      <c r="E25" s="46">
        <v>150</v>
      </c>
      <c r="F25" s="49">
        <f t="shared" si="17"/>
        <v>1.440513283462317E-3</v>
      </c>
      <c r="G25" s="46">
        <v>150</v>
      </c>
      <c r="H25" s="49">
        <f t="shared" si="18"/>
        <v>8.6841858006226214E-4</v>
      </c>
      <c r="I25" s="46">
        <v>150</v>
      </c>
      <c r="J25" s="49">
        <f t="shared" si="19"/>
        <v>9.8349288710283356E-4</v>
      </c>
      <c r="K25" s="46">
        <v>150</v>
      </c>
      <c r="L25" s="49">
        <f t="shared" si="20"/>
        <v>1.0753235024126852E-3</v>
      </c>
      <c r="M25" s="46">
        <v>150</v>
      </c>
      <c r="N25" s="49">
        <f t="shared" si="21"/>
        <v>7.5834555844465023E-4</v>
      </c>
      <c r="O25" s="46">
        <v>150</v>
      </c>
      <c r="P25" s="49">
        <f t="shared" si="22"/>
        <v>1.1978091236480707E-3</v>
      </c>
      <c r="Q25" s="46">
        <v>150</v>
      </c>
      <c r="R25" s="49">
        <f>Q25/Q$12</f>
        <v>9.6462226445159554E-4</v>
      </c>
      <c r="S25" s="46">
        <v>150</v>
      </c>
      <c r="T25" s="49">
        <f t="shared" si="23"/>
        <v>9.5755619322446652E-4</v>
      </c>
      <c r="U25" s="46">
        <v>150</v>
      </c>
      <c r="V25" s="49">
        <f t="shared" si="24"/>
        <v>1.2071965596534464E-3</v>
      </c>
      <c r="W25" s="46">
        <v>150</v>
      </c>
      <c r="X25" s="49">
        <f>W25/W$12</f>
        <v>1.1865021476569354E-3</v>
      </c>
      <c r="Y25" s="46">
        <v>150</v>
      </c>
      <c r="Z25" s="49">
        <f t="shared" si="25"/>
        <v>7.8541790517681746E-4</v>
      </c>
      <c r="AA25" s="405">
        <f t="shared" si="26"/>
        <v>1800</v>
      </c>
      <c r="AB25" s="416">
        <f t="shared" si="27"/>
        <v>1.0114942144579364E-3</v>
      </c>
      <c r="AC25" s="407">
        <f t="shared" si="1"/>
        <v>150</v>
      </c>
      <c r="AD25" s="417">
        <f t="shared" si="28"/>
        <v>1.0114942144579366E-3</v>
      </c>
      <c r="AE25" s="214" t="s">
        <v>177</v>
      </c>
      <c r="AF25" s="54">
        <v>75</v>
      </c>
      <c r="AG25" s="289" t="s">
        <v>176</v>
      </c>
      <c r="AH25" s="21">
        <f t="shared" si="2"/>
        <v>763.5</v>
      </c>
    </row>
    <row r="26" spans="1:34" s="289" customFormat="1" ht="21.75" customHeight="1">
      <c r="A26" s="3">
        <v>5605</v>
      </c>
      <c r="B26" s="367" t="s">
        <v>14</v>
      </c>
      <c r="C26" s="46"/>
      <c r="D26" s="49">
        <f t="shared" si="16"/>
        <v>0</v>
      </c>
      <c r="E26" s="46"/>
      <c r="F26" s="49">
        <f t="shared" si="17"/>
        <v>0</v>
      </c>
      <c r="G26" s="46"/>
      <c r="H26" s="49">
        <f t="shared" si="18"/>
        <v>0</v>
      </c>
      <c r="I26" s="46"/>
      <c r="J26" s="49">
        <f t="shared" si="19"/>
        <v>0</v>
      </c>
      <c r="K26" s="46"/>
      <c r="L26" s="49">
        <f t="shared" si="20"/>
        <v>0</v>
      </c>
      <c r="M26" s="46"/>
      <c r="N26" s="49">
        <f t="shared" si="21"/>
        <v>0</v>
      </c>
      <c r="O26" s="46"/>
      <c r="P26" s="49">
        <f t="shared" si="22"/>
        <v>0</v>
      </c>
      <c r="Q26" s="46"/>
      <c r="R26" s="49">
        <f>Q26/Q$12</f>
        <v>0</v>
      </c>
      <c r="S26" s="46"/>
      <c r="T26" s="49">
        <f t="shared" si="23"/>
        <v>0</v>
      </c>
      <c r="U26" s="46"/>
      <c r="V26" s="49">
        <f t="shared" si="24"/>
        <v>0</v>
      </c>
      <c r="W26" s="46"/>
      <c r="X26" s="49">
        <f>W26/W$12</f>
        <v>0</v>
      </c>
      <c r="Y26" s="46"/>
      <c r="Z26" s="49">
        <f t="shared" si="25"/>
        <v>0</v>
      </c>
      <c r="AA26" s="405">
        <f t="shared" si="26"/>
        <v>0</v>
      </c>
      <c r="AB26" s="416">
        <f t="shared" si="27"/>
        <v>0</v>
      </c>
      <c r="AC26" s="407">
        <f t="shared" si="1"/>
        <v>0</v>
      </c>
      <c r="AD26" s="417">
        <f t="shared" si="28"/>
        <v>0</v>
      </c>
      <c r="AE26" s="214"/>
      <c r="AF26" s="54"/>
      <c r="AH26" s="21">
        <f t="shared" si="2"/>
        <v>0</v>
      </c>
    </row>
    <row r="27" spans="1:34" s="289" customFormat="1" ht="21.75" customHeight="1">
      <c r="A27" s="3">
        <v>5606</v>
      </c>
      <c r="B27" s="367" t="s">
        <v>77</v>
      </c>
      <c r="C27" s="46">
        <f>C16*0.36%</f>
        <v>481.83119999999997</v>
      </c>
      <c r="D27" s="49">
        <f t="shared" si="16"/>
        <v>3.5999999999999999E-3</v>
      </c>
      <c r="E27" s="46">
        <f>E16*0.36%</f>
        <v>374.8663800600948</v>
      </c>
      <c r="F27" s="49">
        <f t="shared" si="17"/>
        <v>3.5999999999999999E-3</v>
      </c>
      <c r="G27" s="46">
        <f>G16*0.36%</f>
        <v>621.81995226459128</v>
      </c>
      <c r="H27" s="49">
        <f t="shared" si="18"/>
        <v>3.5999999999999999E-3</v>
      </c>
      <c r="I27" s="46">
        <f>I16*0.36%</f>
        <v>549.06345239641553</v>
      </c>
      <c r="J27" s="49">
        <f t="shared" si="19"/>
        <v>3.5999999999999999E-3</v>
      </c>
      <c r="K27" s="46">
        <f>K16*0.36%</f>
        <v>502.17446079101876</v>
      </c>
      <c r="L27" s="49">
        <f t="shared" si="20"/>
        <v>3.5999999999999999E-3</v>
      </c>
      <c r="M27" s="46">
        <f>M16*0.36%</f>
        <v>712.07643268528909</v>
      </c>
      <c r="N27" s="49">
        <f t="shared" si="21"/>
        <v>3.5999999999999999E-3</v>
      </c>
      <c r="O27" s="46">
        <f>O16*0.36%</f>
        <v>450.82308135653994</v>
      </c>
      <c r="P27" s="49">
        <f t="shared" si="22"/>
        <v>3.5999999999999995E-3</v>
      </c>
      <c r="Q27" s="46">
        <f>Q16*0.36%</f>
        <v>559.80461979798838</v>
      </c>
      <c r="R27" s="49">
        <f>Q27/Q12</f>
        <v>3.6000000000000003E-3</v>
      </c>
      <c r="S27" s="46">
        <f>S16*0.36%</f>
        <v>563.93557247184481</v>
      </c>
      <c r="T27" s="49">
        <f t="shared" si="23"/>
        <v>3.5999999999999999E-3</v>
      </c>
      <c r="U27" s="46">
        <f>U16*0.36%</f>
        <v>447.31737816998037</v>
      </c>
      <c r="V27" s="49">
        <f t="shared" si="24"/>
        <v>3.5999999999999995E-3</v>
      </c>
      <c r="W27" s="46">
        <f>W16*0.36%</f>
        <v>455.11927733664362</v>
      </c>
      <c r="X27" s="49">
        <f>W27/W12</f>
        <v>3.5999999999999999E-3</v>
      </c>
      <c r="Y27" s="46">
        <f>Y16*0.36%</f>
        <v>687.53207234107083</v>
      </c>
      <c r="Z27" s="49">
        <f t="shared" si="25"/>
        <v>3.5999999999999999E-3</v>
      </c>
      <c r="AA27" s="405">
        <f t="shared" si="26"/>
        <v>6406.3638796714777</v>
      </c>
      <c r="AB27" s="416">
        <f t="shared" si="27"/>
        <v>3.5999999999999995E-3</v>
      </c>
      <c r="AC27" s="407">
        <f t="shared" si="1"/>
        <v>533.86365663928984</v>
      </c>
      <c r="AD27" s="417">
        <f t="shared" si="28"/>
        <v>3.6000000000000003E-3</v>
      </c>
      <c r="AE27" s="214" t="s">
        <v>177</v>
      </c>
      <c r="AF27" s="54"/>
      <c r="AG27" s="289" t="s">
        <v>178</v>
      </c>
      <c r="AH27" s="21">
        <f t="shared" si="2"/>
        <v>2849.4055147717609</v>
      </c>
    </row>
    <row r="28" spans="1:34" s="289" customFormat="1" ht="21.75" customHeight="1">
      <c r="A28" s="3">
        <v>5607</v>
      </c>
      <c r="B28" s="367" t="s">
        <v>57</v>
      </c>
      <c r="C28" s="418"/>
      <c r="D28" s="415">
        <f t="shared" si="16"/>
        <v>0</v>
      </c>
      <c r="E28" s="418"/>
      <c r="F28" s="415">
        <f t="shared" si="17"/>
        <v>0</v>
      </c>
      <c r="G28" s="418"/>
      <c r="H28" s="415">
        <f t="shared" si="18"/>
        <v>0</v>
      </c>
      <c r="I28" s="418"/>
      <c r="J28" s="415">
        <f t="shared" si="19"/>
        <v>0</v>
      </c>
      <c r="K28" s="418"/>
      <c r="L28" s="415">
        <f t="shared" si="20"/>
        <v>0</v>
      </c>
      <c r="M28" s="418"/>
      <c r="N28" s="415">
        <f t="shared" si="21"/>
        <v>0</v>
      </c>
      <c r="O28" s="418"/>
      <c r="P28" s="415">
        <f t="shared" si="22"/>
        <v>0</v>
      </c>
      <c r="Q28" s="418"/>
      <c r="R28" s="415">
        <f t="shared" ref="R28:R34" si="29">Q28/Q$12</f>
        <v>0</v>
      </c>
      <c r="S28" s="418"/>
      <c r="T28" s="415">
        <f t="shared" si="23"/>
        <v>0</v>
      </c>
      <c r="U28" s="418"/>
      <c r="V28" s="415">
        <f t="shared" si="24"/>
        <v>0</v>
      </c>
      <c r="W28" s="418"/>
      <c r="X28" s="415">
        <f t="shared" ref="X28:X34" si="30">W28/W$12</f>
        <v>0</v>
      </c>
      <c r="Y28" s="418"/>
      <c r="Z28" s="415">
        <f t="shared" si="25"/>
        <v>0</v>
      </c>
      <c r="AA28" s="405">
        <f t="shared" si="26"/>
        <v>0</v>
      </c>
      <c r="AB28" s="416">
        <f t="shared" si="27"/>
        <v>0</v>
      </c>
      <c r="AC28" s="407">
        <f t="shared" si="1"/>
        <v>0</v>
      </c>
      <c r="AD28" s="417">
        <f t="shared" si="28"/>
        <v>0</v>
      </c>
      <c r="AE28" s="214"/>
      <c r="AF28" s="54"/>
      <c r="AH28" s="21">
        <f t="shared" si="2"/>
        <v>0</v>
      </c>
    </row>
    <row r="29" spans="1:34" s="289" customFormat="1" ht="21.75" customHeight="1">
      <c r="A29" s="3">
        <v>5608</v>
      </c>
      <c r="B29" s="367" t="s">
        <v>58</v>
      </c>
      <c r="C29" s="418"/>
      <c r="D29" s="415">
        <f t="shared" si="16"/>
        <v>0</v>
      </c>
      <c r="E29" s="418"/>
      <c r="F29" s="415">
        <f t="shared" si="17"/>
        <v>0</v>
      </c>
      <c r="G29" s="418"/>
      <c r="H29" s="415">
        <f t="shared" si="18"/>
        <v>0</v>
      </c>
      <c r="I29" s="418"/>
      <c r="J29" s="415">
        <f t="shared" si="19"/>
        <v>0</v>
      </c>
      <c r="K29" s="418"/>
      <c r="L29" s="415">
        <f t="shared" si="20"/>
        <v>0</v>
      </c>
      <c r="M29" s="418"/>
      <c r="N29" s="415">
        <f t="shared" si="21"/>
        <v>0</v>
      </c>
      <c r="O29" s="418"/>
      <c r="P29" s="415">
        <f t="shared" si="22"/>
        <v>0</v>
      </c>
      <c r="Q29" s="418"/>
      <c r="R29" s="415">
        <f t="shared" si="29"/>
        <v>0</v>
      </c>
      <c r="S29" s="418"/>
      <c r="T29" s="415">
        <f t="shared" si="23"/>
        <v>0</v>
      </c>
      <c r="U29" s="418"/>
      <c r="V29" s="415">
        <f t="shared" si="24"/>
        <v>0</v>
      </c>
      <c r="W29" s="418"/>
      <c r="X29" s="415">
        <f t="shared" si="30"/>
        <v>0</v>
      </c>
      <c r="Y29" s="418"/>
      <c r="Z29" s="415">
        <f t="shared" si="25"/>
        <v>0</v>
      </c>
      <c r="AA29" s="405">
        <f t="shared" si="26"/>
        <v>0</v>
      </c>
      <c r="AB29" s="416">
        <f t="shared" si="27"/>
        <v>0</v>
      </c>
      <c r="AC29" s="407">
        <f t="shared" si="1"/>
        <v>0</v>
      </c>
      <c r="AD29" s="417">
        <f t="shared" si="28"/>
        <v>0</v>
      </c>
      <c r="AE29" s="214"/>
      <c r="AF29" s="54"/>
      <c r="AH29" s="21">
        <f t="shared" si="2"/>
        <v>0</v>
      </c>
    </row>
    <row r="30" spans="1:34" s="289" customFormat="1" ht="21.75" customHeight="1">
      <c r="A30" s="3">
        <v>5609</v>
      </c>
      <c r="B30" s="367" t="s">
        <v>59</v>
      </c>
      <c r="C30" s="418"/>
      <c r="D30" s="415">
        <f t="shared" si="16"/>
        <v>0</v>
      </c>
      <c r="E30" s="418"/>
      <c r="F30" s="415">
        <f t="shared" si="17"/>
        <v>0</v>
      </c>
      <c r="G30" s="418"/>
      <c r="H30" s="415">
        <f t="shared" si="18"/>
        <v>0</v>
      </c>
      <c r="I30" s="418"/>
      <c r="J30" s="415">
        <f t="shared" si="19"/>
        <v>0</v>
      </c>
      <c r="K30" s="418"/>
      <c r="L30" s="415">
        <f t="shared" si="20"/>
        <v>0</v>
      </c>
      <c r="M30" s="418"/>
      <c r="N30" s="415">
        <f t="shared" si="21"/>
        <v>0</v>
      </c>
      <c r="O30" s="418"/>
      <c r="P30" s="415">
        <f t="shared" si="22"/>
        <v>0</v>
      </c>
      <c r="Q30" s="418"/>
      <c r="R30" s="415">
        <f t="shared" si="29"/>
        <v>0</v>
      </c>
      <c r="S30" s="418"/>
      <c r="T30" s="415">
        <f t="shared" si="23"/>
        <v>0</v>
      </c>
      <c r="U30" s="418"/>
      <c r="V30" s="415">
        <f t="shared" si="24"/>
        <v>0</v>
      </c>
      <c r="W30" s="418"/>
      <c r="X30" s="415">
        <f t="shared" si="30"/>
        <v>0</v>
      </c>
      <c r="Y30" s="418"/>
      <c r="Z30" s="415">
        <f t="shared" si="25"/>
        <v>0</v>
      </c>
      <c r="AA30" s="405">
        <f t="shared" si="26"/>
        <v>0</v>
      </c>
      <c r="AB30" s="416">
        <f t="shared" si="27"/>
        <v>0</v>
      </c>
      <c r="AC30" s="407">
        <f t="shared" si="1"/>
        <v>0</v>
      </c>
      <c r="AD30" s="417">
        <f t="shared" si="28"/>
        <v>0</v>
      </c>
      <c r="AE30" s="214"/>
      <c r="AF30" s="54"/>
      <c r="AH30" s="21">
        <f t="shared" si="2"/>
        <v>0</v>
      </c>
    </row>
    <row r="31" spans="1:34" s="289" customFormat="1" ht="21.75" customHeight="1">
      <c r="A31" s="3">
        <v>5610</v>
      </c>
      <c r="B31" s="367" t="s">
        <v>60</v>
      </c>
      <c r="C31" s="418"/>
      <c r="D31" s="415">
        <f t="shared" si="16"/>
        <v>0</v>
      </c>
      <c r="E31" s="418"/>
      <c r="F31" s="415">
        <f t="shared" si="17"/>
        <v>0</v>
      </c>
      <c r="G31" s="418"/>
      <c r="H31" s="415">
        <f t="shared" si="18"/>
        <v>0</v>
      </c>
      <c r="I31" s="418"/>
      <c r="J31" s="415">
        <f t="shared" si="19"/>
        <v>0</v>
      </c>
      <c r="K31" s="418"/>
      <c r="L31" s="415">
        <f t="shared" si="20"/>
        <v>0</v>
      </c>
      <c r="M31" s="418"/>
      <c r="N31" s="415">
        <f t="shared" si="21"/>
        <v>0</v>
      </c>
      <c r="O31" s="418"/>
      <c r="P31" s="415">
        <f t="shared" si="22"/>
        <v>0</v>
      </c>
      <c r="Q31" s="418"/>
      <c r="R31" s="415">
        <f t="shared" si="29"/>
        <v>0</v>
      </c>
      <c r="S31" s="418"/>
      <c r="T31" s="415">
        <f t="shared" si="23"/>
        <v>0</v>
      </c>
      <c r="U31" s="418"/>
      <c r="V31" s="415">
        <f t="shared" si="24"/>
        <v>0</v>
      </c>
      <c r="W31" s="418"/>
      <c r="X31" s="415">
        <f t="shared" si="30"/>
        <v>0</v>
      </c>
      <c r="Y31" s="418"/>
      <c r="Z31" s="415">
        <f t="shared" si="25"/>
        <v>0</v>
      </c>
      <c r="AA31" s="405">
        <f t="shared" si="26"/>
        <v>0</v>
      </c>
      <c r="AB31" s="416">
        <f t="shared" si="27"/>
        <v>0</v>
      </c>
      <c r="AC31" s="407">
        <f t="shared" si="1"/>
        <v>0</v>
      </c>
      <c r="AD31" s="417">
        <f t="shared" si="28"/>
        <v>0</v>
      </c>
      <c r="AE31" s="214"/>
      <c r="AF31" s="54"/>
      <c r="AH31" s="21">
        <f t="shared" si="2"/>
        <v>0</v>
      </c>
    </row>
    <row r="32" spans="1:34" s="289" customFormat="1" ht="21.75" customHeight="1">
      <c r="A32" s="3">
        <v>5611</v>
      </c>
      <c r="B32" s="367" t="s">
        <v>109</v>
      </c>
      <c r="C32" s="418"/>
      <c r="D32" s="415">
        <f t="shared" si="16"/>
        <v>0</v>
      </c>
      <c r="E32" s="418"/>
      <c r="F32" s="415">
        <f t="shared" si="17"/>
        <v>0</v>
      </c>
      <c r="G32" s="418"/>
      <c r="H32" s="415">
        <f t="shared" si="18"/>
        <v>0</v>
      </c>
      <c r="I32" s="418"/>
      <c r="J32" s="415">
        <f t="shared" si="19"/>
        <v>0</v>
      </c>
      <c r="K32" s="418"/>
      <c r="L32" s="415">
        <f t="shared" si="20"/>
        <v>0</v>
      </c>
      <c r="M32" s="418"/>
      <c r="N32" s="415">
        <f t="shared" si="21"/>
        <v>0</v>
      </c>
      <c r="O32" s="418"/>
      <c r="P32" s="415">
        <f t="shared" si="22"/>
        <v>0</v>
      </c>
      <c r="Q32" s="418"/>
      <c r="R32" s="415">
        <f t="shared" si="29"/>
        <v>0</v>
      </c>
      <c r="S32" s="418"/>
      <c r="T32" s="415">
        <f t="shared" si="23"/>
        <v>0</v>
      </c>
      <c r="U32" s="418"/>
      <c r="V32" s="415">
        <f t="shared" si="24"/>
        <v>0</v>
      </c>
      <c r="W32" s="418"/>
      <c r="X32" s="415">
        <f t="shared" si="30"/>
        <v>0</v>
      </c>
      <c r="Y32" s="418"/>
      <c r="Z32" s="415">
        <f t="shared" si="25"/>
        <v>0</v>
      </c>
      <c r="AA32" s="405">
        <f t="shared" si="26"/>
        <v>0</v>
      </c>
      <c r="AB32" s="416">
        <f t="shared" si="27"/>
        <v>0</v>
      </c>
      <c r="AC32" s="407">
        <f t="shared" si="1"/>
        <v>0</v>
      </c>
      <c r="AD32" s="417">
        <f t="shared" si="28"/>
        <v>0</v>
      </c>
      <c r="AE32" s="214"/>
      <c r="AF32" s="54"/>
      <c r="AH32" s="21">
        <f t="shared" si="2"/>
        <v>0</v>
      </c>
    </row>
    <row r="33" spans="1:34" s="289" customFormat="1" ht="21.75" customHeight="1">
      <c r="A33" s="3">
        <v>5612</v>
      </c>
      <c r="B33" s="367" t="s">
        <v>61</v>
      </c>
      <c r="C33" s="418"/>
      <c r="D33" s="415">
        <f t="shared" si="16"/>
        <v>0</v>
      </c>
      <c r="E33" s="418"/>
      <c r="F33" s="415">
        <f t="shared" si="17"/>
        <v>0</v>
      </c>
      <c r="G33" s="418"/>
      <c r="H33" s="415">
        <f t="shared" si="18"/>
        <v>0</v>
      </c>
      <c r="I33" s="418"/>
      <c r="J33" s="415">
        <f t="shared" si="19"/>
        <v>0</v>
      </c>
      <c r="K33" s="418"/>
      <c r="L33" s="415">
        <f t="shared" si="20"/>
        <v>0</v>
      </c>
      <c r="M33" s="418"/>
      <c r="N33" s="415">
        <f t="shared" si="21"/>
        <v>0</v>
      </c>
      <c r="O33" s="418"/>
      <c r="P33" s="415">
        <f t="shared" si="22"/>
        <v>0</v>
      </c>
      <c r="Q33" s="418"/>
      <c r="R33" s="415">
        <f t="shared" si="29"/>
        <v>0</v>
      </c>
      <c r="S33" s="418"/>
      <c r="T33" s="415">
        <f t="shared" si="23"/>
        <v>0</v>
      </c>
      <c r="U33" s="418"/>
      <c r="V33" s="415">
        <f t="shared" si="24"/>
        <v>0</v>
      </c>
      <c r="W33" s="418"/>
      <c r="X33" s="415">
        <f t="shared" si="30"/>
        <v>0</v>
      </c>
      <c r="Y33" s="418"/>
      <c r="Z33" s="415">
        <f t="shared" si="25"/>
        <v>0</v>
      </c>
      <c r="AA33" s="405">
        <f t="shared" si="26"/>
        <v>0</v>
      </c>
      <c r="AB33" s="416">
        <f t="shared" si="27"/>
        <v>0</v>
      </c>
      <c r="AC33" s="407">
        <f t="shared" si="1"/>
        <v>0</v>
      </c>
      <c r="AD33" s="417">
        <f t="shared" si="28"/>
        <v>0</v>
      </c>
      <c r="AE33" s="214"/>
      <c r="AF33" s="54"/>
      <c r="AH33" s="21">
        <f t="shared" si="2"/>
        <v>0</v>
      </c>
    </row>
    <row r="34" spans="1:34" s="289" customFormat="1" ht="21.75" customHeight="1">
      <c r="A34" s="3">
        <v>5613</v>
      </c>
      <c r="B34" s="367" t="s">
        <v>62</v>
      </c>
      <c r="C34" s="418"/>
      <c r="D34" s="415">
        <f t="shared" si="16"/>
        <v>0</v>
      </c>
      <c r="E34" s="418"/>
      <c r="F34" s="415">
        <f t="shared" si="17"/>
        <v>0</v>
      </c>
      <c r="G34" s="418"/>
      <c r="H34" s="415">
        <f t="shared" si="18"/>
        <v>0</v>
      </c>
      <c r="I34" s="418"/>
      <c r="J34" s="415">
        <f t="shared" si="19"/>
        <v>0</v>
      </c>
      <c r="K34" s="418"/>
      <c r="L34" s="415">
        <f t="shared" si="20"/>
        <v>0</v>
      </c>
      <c r="M34" s="418"/>
      <c r="N34" s="415">
        <f t="shared" si="21"/>
        <v>0</v>
      </c>
      <c r="O34" s="418"/>
      <c r="P34" s="415">
        <f t="shared" si="22"/>
        <v>0</v>
      </c>
      <c r="Q34" s="418"/>
      <c r="R34" s="415">
        <f t="shared" si="29"/>
        <v>0</v>
      </c>
      <c r="S34" s="418"/>
      <c r="T34" s="415">
        <f t="shared" si="23"/>
        <v>0</v>
      </c>
      <c r="U34" s="418"/>
      <c r="V34" s="415">
        <f t="shared" si="24"/>
        <v>0</v>
      </c>
      <c r="W34" s="418"/>
      <c r="X34" s="415">
        <f t="shared" si="30"/>
        <v>0</v>
      </c>
      <c r="Y34" s="418"/>
      <c r="Z34" s="415">
        <f t="shared" si="25"/>
        <v>0</v>
      </c>
      <c r="AA34" s="405">
        <f t="shared" si="26"/>
        <v>0</v>
      </c>
      <c r="AB34" s="416">
        <f t="shared" si="27"/>
        <v>0</v>
      </c>
      <c r="AC34" s="407">
        <f t="shared" si="1"/>
        <v>0</v>
      </c>
      <c r="AD34" s="417">
        <f t="shared" si="28"/>
        <v>0</v>
      </c>
      <c r="AE34" s="214"/>
      <c r="AF34" s="54"/>
      <c r="AH34" s="21">
        <f t="shared" si="2"/>
        <v>0</v>
      </c>
    </row>
    <row r="35" spans="1:34" s="289" customFormat="1" ht="21.75" customHeight="1">
      <c r="A35" s="9">
        <v>5699</v>
      </c>
      <c r="B35" s="369" t="s">
        <v>110</v>
      </c>
      <c r="C35" s="444">
        <f>SUM(C22:C34)</f>
        <v>631.83119999999997</v>
      </c>
      <c r="D35" s="445">
        <f>C35/C12</f>
        <v>4.7207244362756084E-3</v>
      </c>
      <c r="E35" s="444">
        <f>SUM(E22:E34)</f>
        <v>524.8663800600948</v>
      </c>
      <c r="F35" s="445">
        <f t="shared" si="17"/>
        <v>5.0405132834623169E-3</v>
      </c>
      <c r="G35" s="444">
        <f>SUM(G22:G34)</f>
        <v>771.81995226459128</v>
      </c>
      <c r="H35" s="445">
        <f>G35/G12</f>
        <v>4.4684185800622622E-3</v>
      </c>
      <c r="I35" s="444">
        <f>SUM(I22:I34)</f>
        <v>699.06345239641553</v>
      </c>
      <c r="J35" s="445">
        <f>I35/I12</f>
        <v>4.5834928871028337E-3</v>
      </c>
      <c r="K35" s="446">
        <f>SUM(K22:K34)</f>
        <v>652.17446079101876</v>
      </c>
      <c r="L35" s="445">
        <f>K35/K12</f>
        <v>4.6753235024126847E-3</v>
      </c>
      <c r="M35" s="446">
        <f>SUM(M22:M34)</f>
        <v>862.07643268528909</v>
      </c>
      <c r="N35" s="445">
        <f>M35/M12</f>
        <v>4.3583455584446503E-3</v>
      </c>
      <c r="O35" s="446">
        <f>SUM(O22:O34)</f>
        <v>600.82308135653989</v>
      </c>
      <c r="P35" s="445">
        <f>O35/O12</f>
        <v>4.7978091236480702E-3</v>
      </c>
      <c r="Q35" s="447">
        <f>SUM(Q22:Q34)</f>
        <v>709.80461979798838</v>
      </c>
      <c r="R35" s="445">
        <f>Q35/Q12</f>
        <v>4.564622264451596E-3</v>
      </c>
      <c r="S35" s="447">
        <f>SUM(S22:S34)</f>
        <v>713.93557247184481</v>
      </c>
      <c r="T35" s="445">
        <f>S35/S12</f>
        <v>4.5575561932244659E-3</v>
      </c>
      <c r="U35" s="447">
        <f>SUM(U22:U34)</f>
        <v>597.31737816998043</v>
      </c>
      <c r="V35" s="445">
        <f>U35/U12</f>
        <v>4.8071965596534465E-3</v>
      </c>
      <c r="W35" s="447">
        <f>SUM(W22:W34)</f>
        <v>605.11927733664356</v>
      </c>
      <c r="X35" s="445">
        <f>W35/W12</f>
        <v>4.7865021476569351E-3</v>
      </c>
      <c r="Y35" s="447">
        <f>SUM(Y22:Y34)</f>
        <v>837.53207234107083</v>
      </c>
      <c r="Z35" s="445">
        <f>Y35/Y12</f>
        <v>4.3854179051768171E-3</v>
      </c>
      <c r="AA35" s="448">
        <f>SUM(AA22:AA34)</f>
        <v>8206.3638796714768</v>
      </c>
      <c r="AB35" s="449">
        <f>AA35/AA12</f>
        <v>4.6114942144579356E-3</v>
      </c>
      <c r="AC35" s="450">
        <f t="shared" si="1"/>
        <v>683.86365663928973</v>
      </c>
      <c r="AD35" s="451">
        <f>AC35/AC12</f>
        <v>4.6114942144579356E-3</v>
      </c>
      <c r="AE35" s="215"/>
      <c r="AF35" s="54"/>
      <c r="AH35" s="21">
        <f t="shared" si="2"/>
        <v>3612.9055147717609</v>
      </c>
    </row>
    <row r="36" spans="1:34" s="289" customFormat="1" ht="21.75" customHeight="1">
      <c r="A36" s="9">
        <v>5999</v>
      </c>
      <c r="B36" s="369" t="s">
        <v>111</v>
      </c>
      <c r="C36" s="444">
        <f>C21+C35</f>
        <v>67552.831200000001</v>
      </c>
      <c r="D36" s="445">
        <f>C36/C12</f>
        <v>0.50472072443627558</v>
      </c>
      <c r="E36" s="444">
        <f>E21+E35</f>
        <v>51548.345888239659</v>
      </c>
      <c r="F36" s="445">
        <f>E36/E12</f>
        <v>0.49504051328346227</v>
      </c>
      <c r="G36" s="444">
        <f>G21+G35</f>
        <v>90590.257501594446</v>
      </c>
      <c r="H36" s="445">
        <f>G36/G12</f>
        <v>0.52446841858006221</v>
      </c>
      <c r="I36" s="444">
        <f>I21+I35</f>
        <v>82234.986133264116</v>
      </c>
      <c r="J36" s="445">
        <f>I36/I12</f>
        <v>0.53918349288710277</v>
      </c>
      <c r="K36" s="446">
        <f>K21+K35</f>
        <v>65418.73061225492</v>
      </c>
      <c r="L36" s="445">
        <f>K36/K12</f>
        <v>0.46897532350241272</v>
      </c>
      <c r="M36" s="446">
        <f>M21+M35</f>
        <v>114675.62625688402</v>
      </c>
      <c r="N36" s="445">
        <f>M36/M12</f>
        <v>0.57975834555844474</v>
      </c>
      <c r="O36" s="446">
        <f>O21+O35</f>
        <v>66709.018816944736</v>
      </c>
      <c r="P36" s="445">
        <f>O36/O12</f>
        <v>0.53269780912364817</v>
      </c>
      <c r="Q36" s="444">
        <f>Q21+Q35</f>
        <v>81041.767560809312</v>
      </c>
      <c r="R36" s="445">
        <f>Q36/Q12</f>
        <v>0.52116462226445159</v>
      </c>
      <c r="S36" s="444">
        <f>S21+S35</f>
        <v>90411.021349521397</v>
      </c>
      <c r="T36" s="445">
        <f>S36/S12</f>
        <v>0.57715755619322451</v>
      </c>
      <c r="U36" s="444">
        <f>U21+U35</f>
        <v>59146.19198752963</v>
      </c>
      <c r="V36" s="445">
        <f>U36/U12</f>
        <v>0.4760071965596534</v>
      </c>
      <c r="W36" s="444">
        <f>W21+W35</f>
        <v>57545.59775301005</v>
      </c>
      <c r="X36" s="445">
        <f>W36/W12</f>
        <v>0.45518650214765688</v>
      </c>
      <c r="Y36" s="444">
        <f>Y21+Y35</f>
        <v>96862.844842643972</v>
      </c>
      <c r="Z36" s="445">
        <f>Y36/Y12</f>
        <v>0.50718541790517679</v>
      </c>
      <c r="AA36" s="448">
        <f>AA21+AA35</f>
        <v>923737.21990269609</v>
      </c>
      <c r="AB36" s="449">
        <f>AA36/AA12</f>
        <v>0.51908602978390872</v>
      </c>
      <c r="AC36" s="450">
        <f t="shared" si="1"/>
        <v>76978.101658558007</v>
      </c>
      <c r="AD36" s="451">
        <f>AC36/AC12</f>
        <v>0.51908602978390872</v>
      </c>
      <c r="AE36" s="215"/>
      <c r="AF36" s="54"/>
      <c r="AH36" s="21">
        <f t="shared" si="2"/>
        <v>412502.59688451939</v>
      </c>
    </row>
    <row r="37" spans="1:34" s="289" customFormat="1" ht="21.75" customHeight="1" thickBot="1">
      <c r="A37" s="10"/>
      <c r="B37" s="370" t="s">
        <v>68</v>
      </c>
      <c r="C37" s="452">
        <f>(C16-C36)</f>
        <v>66289.168799999999</v>
      </c>
      <c r="D37" s="453">
        <f>C37/C12</f>
        <v>0.49527927556372436</v>
      </c>
      <c r="E37" s="452">
        <f>(E16-E36)</f>
        <v>52581.204128453341</v>
      </c>
      <c r="F37" s="454">
        <f>E37/E12</f>
        <v>0.50495948671653779</v>
      </c>
      <c r="G37" s="452">
        <f>(G16-G36)</f>
        <v>82137.50701634759</v>
      </c>
      <c r="H37" s="453">
        <f>G37/G12</f>
        <v>0.47553158141993779</v>
      </c>
      <c r="I37" s="452">
        <f>(I16-I36)</f>
        <v>70282.639532406873</v>
      </c>
      <c r="J37" s="454">
        <f>I37/I12</f>
        <v>0.46081650711289723</v>
      </c>
      <c r="K37" s="455">
        <f>(K16-K36)</f>
        <v>74074.175163028078</v>
      </c>
      <c r="L37" s="454">
        <f>K37/K12</f>
        <v>0.53102467649758722</v>
      </c>
      <c r="M37" s="455">
        <f>(M16-M36)</f>
        <v>83123.382822362968</v>
      </c>
      <c r="N37" s="454">
        <f>M37/M12</f>
        <v>0.42024165444155526</v>
      </c>
      <c r="O37" s="455">
        <f>(O16-O36)</f>
        <v>58519.61489320526</v>
      </c>
      <c r="P37" s="454">
        <f>O37/O12</f>
        <v>0.46730219087635183</v>
      </c>
      <c r="Q37" s="452">
        <f>(Q16-Q36)</f>
        <v>74459.515716409674</v>
      </c>
      <c r="R37" s="453">
        <f>Q37/Q12</f>
        <v>0.47883537773554846</v>
      </c>
      <c r="S37" s="452">
        <f>(S16-S36)</f>
        <v>66237.748781546616</v>
      </c>
      <c r="T37" s="454">
        <f>S37/S12</f>
        <v>0.42284244380677549</v>
      </c>
      <c r="U37" s="452">
        <f>(U16-U36)</f>
        <v>65108.635281909374</v>
      </c>
      <c r="V37" s="454">
        <f>U37/U12</f>
        <v>0.5239928034403466</v>
      </c>
      <c r="W37" s="452">
        <f>(W16-W36)</f>
        <v>68876.423729390954</v>
      </c>
      <c r="X37" s="453">
        <f>W37/W12</f>
        <v>0.54481349785234312</v>
      </c>
      <c r="Y37" s="452">
        <f>(Y16-Y36)</f>
        <v>94118.286363209045</v>
      </c>
      <c r="Z37" s="454">
        <f>Y37/Y12</f>
        <v>0.49281458209482315</v>
      </c>
      <c r="AA37" s="422">
        <f>(AA16-AA36)</f>
        <v>855808.3022282701</v>
      </c>
      <c r="AB37" s="423">
        <f>AA37/AA12</f>
        <v>0.48091397021609128</v>
      </c>
      <c r="AC37" s="424">
        <f t="shared" si="1"/>
        <v>71317.358519022513</v>
      </c>
      <c r="AD37" s="425">
        <f>AC37/AC12</f>
        <v>0.48091397021609134</v>
      </c>
      <c r="AE37" s="223"/>
      <c r="AF37" s="219" t="s">
        <v>153</v>
      </c>
      <c r="AG37" s="209" t="s">
        <v>154</v>
      </c>
      <c r="AH37" s="21">
        <f t="shared" si="2"/>
        <v>378998.93499652523</v>
      </c>
    </row>
    <row r="38" spans="1:34" s="289" customFormat="1" ht="21.75" customHeight="1" thickTop="1">
      <c r="A38" s="2">
        <v>6002</v>
      </c>
      <c r="B38" s="371" t="s">
        <v>45</v>
      </c>
      <c r="C38" s="418"/>
      <c r="D38" s="415">
        <f t="shared" ref="D38:D50" si="31">C38/C$12</f>
        <v>0</v>
      </c>
      <c r="E38" s="418"/>
      <c r="F38" s="415">
        <f t="shared" ref="F38:F50" si="32">E38/E$12</f>
        <v>0</v>
      </c>
      <c r="G38" s="418"/>
      <c r="H38" s="415">
        <f t="shared" ref="H38:H50" si="33">G38/G$12</f>
        <v>0</v>
      </c>
      <c r="I38" s="418"/>
      <c r="J38" s="415">
        <f t="shared" ref="J38:J50" si="34">I38/I$12</f>
        <v>0</v>
      </c>
      <c r="K38" s="397"/>
      <c r="L38" s="415">
        <f t="shared" ref="L38:L50" si="35">K38/K$12</f>
        <v>0</v>
      </c>
      <c r="M38" s="397"/>
      <c r="N38" s="415">
        <f t="shared" ref="N38:N50" si="36">M38/M$12</f>
        <v>0</v>
      </c>
      <c r="O38" s="397"/>
      <c r="P38" s="415">
        <f>O38/O12</f>
        <v>0</v>
      </c>
      <c r="Q38" s="412"/>
      <c r="R38" s="415">
        <f t="shared" ref="R38:R50" si="37">Q38/Q$12</f>
        <v>0</v>
      </c>
      <c r="S38" s="412"/>
      <c r="T38" s="415">
        <f t="shared" ref="T38:T50" si="38">S38/S$12</f>
        <v>0</v>
      </c>
      <c r="U38" s="412"/>
      <c r="V38" s="415">
        <f>U38/U12</f>
        <v>0</v>
      </c>
      <c r="W38" s="412"/>
      <c r="X38" s="415">
        <f t="shared" ref="X38:X50" si="39">W38/W$12</f>
        <v>0</v>
      </c>
      <c r="Y38" s="412"/>
      <c r="Z38" s="415">
        <f t="shared" ref="Z38:Z50" si="40">Y38/Y$12</f>
        <v>0</v>
      </c>
      <c r="AA38" s="405">
        <f>C38+E38+G38+I38+K38+M38+O38+Q38+S38+U38+W38+Y38</f>
        <v>0</v>
      </c>
      <c r="AB38" s="416">
        <f t="shared" ref="AB38:AD93" si="41">AA38/AA$12</f>
        <v>0</v>
      </c>
      <c r="AC38" s="407">
        <f t="shared" si="1"/>
        <v>0</v>
      </c>
      <c r="AD38" s="417">
        <f t="shared" ref="AD38:AD93" si="42">AC38/AC$12</f>
        <v>0</v>
      </c>
      <c r="AE38" s="214"/>
      <c r="AF38" s="54"/>
      <c r="AH38" s="21">
        <f t="shared" si="2"/>
        <v>0</v>
      </c>
    </row>
    <row r="39" spans="1:34" s="289" customFormat="1" ht="21.75" customHeight="1">
      <c r="A39" s="2">
        <v>6003</v>
      </c>
      <c r="B39" s="371" t="s">
        <v>0</v>
      </c>
      <c r="C39" s="418"/>
      <c r="D39" s="415">
        <f t="shared" si="31"/>
        <v>0</v>
      </c>
      <c r="E39" s="418"/>
      <c r="F39" s="415">
        <f t="shared" si="32"/>
        <v>0</v>
      </c>
      <c r="G39" s="418"/>
      <c r="H39" s="415">
        <f t="shared" si="33"/>
        <v>0</v>
      </c>
      <c r="I39" s="418"/>
      <c r="J39" s="415">
        <f t="shared" si="34"/>
        <v>0</v>
      </c>
      <c r="K39" s="397"/>
      <c r="L39" s="415">
        <f t="shared" si="35"/>
        <v>0</v>
      </c>
      <c r="M39" s="397"/>
      <c r="N39" s="415">
        <f t="shared" si="36"/>
        <v>0</v>
      </c>
      <c r="O39" s="397"/>
      <c r="P39" s="415">
        <f t="shared" ref="P39" si="43">O39/O12</f>
        <v>0</v>
      </c>
      <c r="Q39" s="412"/>
      <c r="R39" s="415">
        <f t="shared" si="37"/>
        <v>0</v>
      </c>
      <c r="S39" s="412"/>
      <c r="T39" s="415">
        <f t="shared" si="38"/>
        <v>0</v>
      </c>
      <c r="U39" s="412"/>
      <c r="V39" s="415">
        <f t="shared" ref="V39" si="44">U39/U12</f>
        <v>0</v>
      </c>
      <c r="W39" s="412"/>
      <c r="X39" s="415">
        <f t="shared" si="39"/>
        <v>0</v>
      </c>
      <c r="Y39" s="412"/>
      <c r="Z39" s="415">
        <f t="shared" si="40"/>
        <v>0</v>
      </c>
      <c r="AA39" s="405">
        <f>C39+E39+G39+I39+K39+M39+O39+Q39+S39+U39+W39+Y39</f>
        <v>0</v>
      </c>
      <c r="AB39" s="416">
        <f t="shared" si="41"/>
        <v>0</v>
      </c>
      <c r="AC39" s="407">
        <f t="shared" si="1"/>
        <v>0</v>
      </c>
      <c r="AD39" s="417">
        <f t="shared" si="42"/>
        <v>0</v>
      </c>
      <c r="AE39" s="214"/>
      <c r="AF39" s="54"/>
      <c r="AH39" s="21">
        <f t="shared" si="2"/>
        <v>0</v>
      </c>
    </row>
    <row r="40" spans="1:34" s="289" customFormat="1" ht="21.75" customHeight="1">
      <c r="A40" s="2">
        <v>6004</v>
      </c>
      <c r="B40" s="371" t="s">
        <v>1</v>
      </c>
      <c r="C40" s="418"/>
      <c r="D40" s="415">
        <f t="shared" si="31"/>
        <v>0</v>
      </c>
      <c r="E40" s="418"/>
      <c r="F40" s="415">
        <f t="shared" si="32"/>
        <v>0</v>
      </c>
      <c r="G40" s="418"/>
      <c r="H40" s="415">
        <f t="shared" si="33"/>
        <v>0</v>
      </c>
      <c r="I40" s="418"/>
      <c r="J40" s="415">
        <f t="shared" si="34"/>
        <v>0</v>
      </c>
      <c r="K40" s="397"/>
      <c r="L40" s="415">
        <f t="shared" si="35"/>
        <v>0</v>
      </c>
      <c r="M40" s="397"/>
      <c r="N40" s="415">
        <f t="shared" si="36"/>
        <v>0</v>
      </c>
      <c r="O40" s="397"/>
      <c r="P40" s="415">
        <f>O40/O16</f>
        <v>0</v>
      </c>
      <c r="Q40" s="412"/>
      <c r="R40" s="415">
        <f t="shared" si="37"/>
        <v>0</v>
      </c>
      <c r="S40" s="412"/>
      <c r="T40" s="415">
        <f t="shared" si="38"/>
        <v>0</v>
      </c>
      <c r="U40" s="412"/>
      <c r="V40" s="415">
        <f>U40/U16</f>
        <v>0</v>
      </c>
      <c r="W40" s="412"/>
      <c r="X40" s="415">
        <f t="shared" si="39"/>
        <v>0</v>
      </c>
      <c r="Y40" s="412"/>
      <c r="Z40" s="415">
        <f t="shared" si="40"/>
        <v>0</v>
      </c>
      <c r="AA40" s="405">
        <f>C40+E40+G40+I40+K40+M40+O40+Q40+S40+U40+W40+Y40</f>
        <v>0</v>
      </c>
      <c r="AB40" s="416">
        <f t="shared" si="41"/>
        <v>0</v>
      </c>
      <c r="AC40" s="407">
        <f t="shared" si="1"/>
        <v>0</v>
      </c>
      <c r="AD40" s="417">
        <f t="shared" si="42"/>
        <v>0</v>
      </c>
      <c r="AE40" s="214"/>
      <c r="AF40" s="54"/>
      <c r="AH40" s="21">
        <f t="shared" si="2"/>
        <v>0</v>
      </c>
    </row>
    <row r="41" spans="1:34" s="289" customFormat="1" ht="21.75" customHeight="1" thickBot="1">
      <c r="A41" s="53">
        <v>6099</v>
      </c>
      <c r="B41" s="372" t="s">
        <v>112</v>
      </c>
      <c r="C41" s="457">
        <f>SUM(C38:C40)</f>
        <v>0</v>
      </c>
      <c r="D41" s="458">
        <f t="shared" si="31"/>
        <v>0</v>
      </c>
      <c r="E41" s="457">
        <f>SUM(E38:E40)</f>
        <v>0</v>
      </c>
      <c r="F41" s="458">
        <f t="shared" si="32"/>
        <v>0</v>
      </c>
      <c r="G41" s="457">
        <f>SUM(G38:G40)</f>
        <v>0</v>
      </c>
      <c r="H41" s="458">
        <f t="shared" si="33"/>
        <v>0</v>
      </c>
      <c r="I41" s="457">
        <f>SUM(I38:I40)</f>
        <v>0</v>
      </c>
      <c r="J41" s="458">
        <f t="shared" si="34"/>
        <v>0</v>
      </c>
      <c r="K41" s="459">
        <f>SUM(K38:K40)</f>
        <v>0</v>
      </c>
      <c r="L41" s="458">
        <f t="shared" si="35"/>
        <v>0</v>
      </c>
      <c r="M41" s="459">
        <f>SUM(M38:M40)</f>
        <v>0</v>
      </c>
      <c r="N41" s="458">
        <f t="shared" si="36"/>
        <v>0</v>
      </c>
      <c r="O41" s="459">
        <f>SUM(O38:O40)</f>
        <v>0</v>
      </c>
      <c r="P41" s="458">
        <f t="shared" ref="P41:P50" si="45">O41/O$12</f>
        <v>0</v>
      </c>
      <c r="Q41" s="460">
        <f>SUM(Q38:Q40)</f>
        <v>0</v>
      </c>
      <c r="R41" s="458">
        <f t="shared" si="37"/>
        <v>0</v>
      </c>
      <c r="S41" s="460">
        <f>SUM(S38:S40)</f>
        <v>0</v>
      </c>
      <c r="T41" s="458">
        <f t="shared" si="38"/>
        <v>0</v>
      </c>
      <c r="U41" s="460">
        <f>SUM(U38:U40)</f>
        <v>0</v>
      </c>
      <c r="V41" s="458">
        <f t="shared" ref="V41:V50" si="46">U41/U$12</f>
        <v>0</v>
      </c>
      <c r="W41" s="460">
        <f>SUM(W38:W40)</f>
        <v>0</v>
      </c>
      <c r="X41" s="458">
        <f t="shared" si="39"/>
        <v>0</v>
      </c>
      <c r="Y41" s="460">
        <f>SUM(Y38:Y40)</f>
        <v>0</v>
      </c>
      <c r="Z41" s="458">
        <f t="shared" si="40"/>
        <v>0</v>
      </c>
      <c r="AA41" s="422">
        <f>SUM(AA38:AA40)</f>
        <v>0</v>
      </c>
      <c r="AB41" s="461">
        <f t="shared" si="41"/>
        <v>0</v>
      </c>
      <c r="AC41" s="424">
        <f t="shared" si="1"/>
        <v>0</v>
      </c>
      <c r="AD41" s="461">
        <f t="shared" si="42"/>
        <v>0</v>
      </c>
      <c r="AE41" s="227"/>
      <c r="AF41" s="219"/>
      <c r="AG41" s="209"/>
      <c r="AH41" s="21">
        <f t="shared" si="2"/>
        <v>0</v>
      </c>
    </row>
    <row r="42" spans="1:34" s="289" customFormat="1" ht="21.75" customHeight="1" thickTop="1">
      <c r="A42" s="128">
        <v>6101</v>
      </c>
      <c r="B42" s="371" t="s">
        <v>2</v>
      </c>
      <c r="C42" s="418"/>
      <c r="D42" s="415">
        <f t="shared" si="31"/>
        <v>0</v>
      </c>
      <c r="E42" s="418"/>
      <c r="F42" s="415">
        <f t="shared" si="32"/>
        <v>0</v>
      </c>
      <c r="G42" s="418"/>
      <c r="H42" s="415">
        <f t="shared" si="33"/>
        <v>0</v>
      </c>
      <c r="I42" s="418"/>
      <c r="J42" s="415">
        <f t="shared" si="34"/>
        <v>0</v>
      </c>
      <c r="K42" s="418"/>
      <c r="L42" s="415">
        <f t="shared" si="35"/>
        <v>0</v>
      </c>
      <c r="M42" s="418"/>
      <c r="N42" s="415">
        <f t="shared" si="36"/>
        <v>0</v>
      </c>
      <c r="O42" s="418"/>
      <c r="P42" s="415">
        <f t="shared" si="45"/>
        <v>0</v>
      </c>
      <c r="Q42" s="418">
        <v>0</v>
      </c>
      <c r="R42" s="415">
        <f t="shared" si="37"/>
        <v>0</v>
      </c>
      <c r="S42" s="418">
        <v>0</v>
      </c>
      <c r="T42" s="415">
        <f t="shared" si="38"/>
        <v>0</v>
      </c>
      <c r="U42" s="418">
        <v>0</v>
      </c>
      <c r="V42" s="415">
        <f t="shared" si="46"/>
        <v>0</v>
      </c>
      <c r="W42" s="418">
        <v>0</v>
      </c>
      <c r="X42" s="415">
        <f t="shared" si="39"/>
        <v>0</v>
      </c>
      <c r="Y42" s="418">
        <v>0</v>
      </c>
      <c r="Z42" s="415">
        <f t="shared" si="40"/>
        <v>0</v>
      </c>
      <c r="AA42" s="405">
        <f t="shared" ref="AA42:AA75" si="47">C42+E42+G42+I42+K42+M42+O42+Q42+S42+U42+W42+Y42</f>
        <v>0</v>
      </c>
      <c r="AB42" s="416">
        <f t="shared" si="41"/>
        <v>0</v>
      </c>
      <c r="AC42" s="407">
        <f t="shared" si="1"/>
        <v>0</v>
      </c>
      <c r="AD42" s="417">
        <f t="shared" si="42"/>
        <v>0</v>
      </c>
      <c r="AE42" s="214"/>
      <c r="AF42" s="54"/>
      <c r="AH42" s="21">
        <f t="shared" si="2"/>
        <v>0</v>
      </c>
    </row>
    <row r="43" spans="1:34" s="289" customFormat="1" ht="21.75" customHeight="1">
      <c r="A43" s="128">
        <v>6102</v>
      </c>
      <c r="B43" s="371" t="s">
        <v>3</v>
      </c>
      <c r="C43" s="402">
        <v>7000</v>
      </c>
      <c r="D43" s="415">
        <f t="shared" si="31"/>
        <v>5.2300473692861733E-2</v>
      </c>
      <c r="E43" s="402">
        <v>7000</v>
      </c>
      <c r="F43" s="415">
        <f t="shared" si="32"/>
        <v>6.7223953228241456E-2</v>
      </c>
      <c r="G43" s="402">
        <v>7000</v>
      </c>
      <c r="H43" s="415">
        <f t="shared" si="33"/>
        <v>4.0526200402905561E-2</v>
      </c>
      <c r="I43" s="402">
        <v>7000</v>
      </c>
      <c r="J43" s="415">
        <f t="shared" si="34"/>
        <v>4.5896334731465573E-2</v>
      </c>
      <c r="K43" s="402">
        <v>7000</v>
      </c>
      <c r="L43" s="415">
        <f t="shared" si="35"/>
        <v>5.0181763445925308E-2</v>
      </c>
      <c r="M43" s="402">
        <v>7000</v>
      </c>
      <c r="N43" s="415">
        <f t="shared" si="36"/>
        <v>3.538945939408368E-2</v>
      </c>
      <c r="O43" s="402">
        <v>7000</v>
      </c>
      <c r="P43" s="415">
        <f t="shared" si="45"/>
        <v>5.5897759103576632E-2</v>
      </c>
      <c r="Q43" s="402">
        <v>7000</v>
      </c>
      <c r="R43" s="415">
        <f t="shared" si="37"/>
        <v>4.501570567440779E-2</v>
      </c>
      <c r="S43" s="402">
        <v>7000</v>
      </c>
      <c r="T43" s="415">
        <f t="shared" si="38"/>
        <v>4.468595568380844E-2</v>
      </c>
      <c r="U43" s="402">
        <v>7000</v>
      </c>
      <c r="V43" s="415">
        <f t="shared" si="46"/>
        <v>5.6335839450494168E-2</v>
      </c>
      <c r="W43" s="402">
        <v>7000</v>
      </c>
      <c r="X43" s="415">
        <f t="shared" si="39"/>
        <v>5.5370100223990311E-2</v>
      </c>
      <c r="Y43" s="402">
        <v>7000</v>
      </c>
      <c r="Z43" s="415">
        <f t="shared" si="40"/>
        <v>3.6652835574918149E-2</v>
      </c>
      <c r="AA43" s="405">
        <f t="shared" si="47"/>
        <v>84000</v>
      </c>
      <c r="AB43" s="416">
        <f t="shared" si="41"/>
        <v>4.7203063341370366E-2</v>
      </c>
      <c r="AC43" s="407">
        <f t="shared" si="1"/>
        <v>7000</v>
      </c>
      <c r="AD43" s="417">
        <f t="shared" si="42"/>
        <v>4.7203063341370373E-2</v>
      </c>
      <c r="AE43" s="214"/>
      <c r="AF43" s="54"/>
      <c r="AH43" s="21">
        <f t="shared" si="2"/>
        <v>35630</v>
      </c>
    </row>
    <row r="44" spans="1:34" s="289" customFormat="1" ht="21.75" customHeight="1">
      <c r="A44" s="128">
        <v>6103</v>
      </c>
      <c r="B44" s="371" t="s">
        <v>4</v>
      </c>
      <c r="C44" s="418"/>
      <c r="D44" s="415">
        <f t="shared" si="31"/>
        <v>0</v>
      </c>
      <c r="E44" s="418"/>
      <c r="F44" s="415">
        <f t="shared" si="32"/>
        <v>0</v>
      </c>
      <c r="G44" s="363"/>
      <c r="H44" s="415">
        <f t="shared" si="33"/>
        <v>0</v>
      </c>
      <c r="I44" s="418"/>
      <c r="J44" s="415">
        <f t="shared" si="34"/>
        <v>0</v>
      </c>
      <c r="K44" s="418"/>
      <c r="L44" s="415">
        <f t="shared" si="35"/>
        <v>0</v>
      </c>
      <c r="M44" s="462"/>
      <c r="N44" s="415">
        <f t="shared" si="36"/>
        <v>0</v>
      </c>
      <c r="O44" s="462"/>
      <c r="P44" s="415">
        <f t="shared" si="45"/>
        <v>0</v>
      </c>
      <c r="Q44" s="462">
        <v>0</v>
      </c>
      <c r="R44" s="415">
        <f t="shared" si="37"/>
        <v>0</v>
      </c>
      <c r="S44" s="462">
        <v>0</v>
      </c>
      <c r="T44" s="415">
        <f t="shared" si="38"/>
        <v>0</v>
      </c>
      <c r="U44" s="317">
        <v>0</v>
      </c>
      <c r="V44" s="415">
        <f t="shared" si="46"/>
        <v>0</v>
      </c>
      <c r="W44" s="317">
        <v>0</v>
      </c>
      <c r="X44" s="415">
        <f t="shared" si="39"/>
        <v>0</v>
      </c>
      <c r="Y44" s="317">
        <v>0</v>
      </c>
      <c r="Z44" s="415">
        <f t="shared" si="40"/>
        <v>0</v>
      </c>
      <c r="AA44" s="405">
        <f t="shared" si="47"/>
        <v>0</v>
      </c>
      <c r="AB44" s="416">
        <f t="shared" si="41"/>
        <v>0</v>
      </c>
      <c r="AC44" s="463">
        <f t="shared" si="1"/>
        <v>0</v>
      </c>
      <c r="AD44" s="417">
        <f t="shared" si="42"/>
        <v>0</v>
      </c>
      <c r="AE44" s="214"/>
      <c r="AF44" s="54"/>
      <c r="AH44" s="21">
        <f t="shared" si="2"/>
        <v>0</v>
      </c>
    </row>
    <row r="45" spans="1:34" s="289" customFormat="1" ht="21.75" customHeight="1">
      <c r="A45" s="128">
        <v>6104</v>
      </c>
      <c r="B45" s="373" t="s">
        <v>5</v>
      </c>
      <c r="C45" s="55">
        <v>300</v>
      </c>
      <c r="D45" s="49">
        <f t="shared" si="31"/>
        <v>2.2414488725512171E-3</v>
      </c>
      <c r="E45" s="55">
        <v>300</v>
      </c>
      <c r="F45" s="49">
        <f t="shared" si="32"/>
        <v>2.881026566924634E-3</v>
      </c>
      <c r="G45" s="55">
        <v>300</v>
      </c>
      <c r="H45" s="49">
        <f t="shared" si="33"/>
        <v>1.7368371601245243E-3</v>
      </c>
      <c r="I45" s="55">
        <v>300</v>
      </c>
      <c r="J45" s="49">
        <f t="shared" si="34"/>
        <v>1.9669857742056671E-3</v>
      </c>
      <c r="K45" s="55">
        <v>300</v>
      </c>
      <c r="L45" s="49">
        <f t="shared" si="35"/>
        <v>2.1506470048253705E-3</v>
      </c>
      <c r="M45" s="55">
        <v>300</v>
      </c>
      <c r="N45" s="49">
        <f t="shared" si="36"/>
        <v>1.5166911168893005E-3</v>
      </c>
      <c r="O45" s="55">
        <v>300</v>
      </c>
      <c r="P45" s="49">
        <f t="shared" si="45"/>
        <v>2.3956182472961414E-3</v>
      </c>
      <c r="Q45" s="55">
        <v>300</v>
      </c>
      <c r="R45" s="49">
        <f t="shared" si="37"/>
        <v>1.9292445289031911E-3</v>
      </c>
      <c r="S45" s="55">
        <v>300</v>
      </c>
      <c r="T45" s="49">
        <f t="shared" si="38"/>
        <v>1.915112386448933E-3</v>
      </c>
      <c r="U45" s="55">
        <v>300</v>
      </c>
      <c r="V45" s="49">
        <f t="shared" si="46"/>
        <v>2.4143931193068928E-3</v>
      </c>
      <c r="W45" s="55">
        <v>300</v>
      </c>
      <c r="X45" s="49">
        <f t="shared" si="39"/>
        <v>2.3730042953138708E-3</v>
      </c>
      <c r="Y45" s="55">
        <v>300</v>
      </c>
      <c r="Z45" s="49">
        <f t="shared" si="40"/>
        <v>1.5708358103536349E-3</v>
      </c>
      <c r="AA45" s="405">
        <f t="shared" si="47"/>
        <v>3600</v>
      </c>
      <c r="AB45" s="416">
        <f t="shared" si="41"/>
        <v>2.0229884289158727E-3</v>
      </c>
      <c r="AC45" s="407">
        <f t="shared" si="1"/>
        <v>300</v>
      </c>
      <c r="AD45" s="417">
        <f t="shared" si="42"/>
        <v>2.0229884289158732E-3</v>
      </c>
      <c r="AE45" s="214"/>
      <c r="AF45" s="54"/>
      <c r="AG45" s="5"/>
      <c r="AH45" s="21">
        <f t="shared" si="2"/>
        <v>1527</v>
      </c>
    </row>
    <row r="46" spans="1:34" s="289" customFormat="1" ht="21.75" customHeight="1">
      <c r="A46" s="128">
        <v>6105</v>
      </c>
      <c r="B46" s="371" t="s">
        <v>39</v>
      </c>
      <c r="C46" s="280">
        <v>750</v>
      </c>
      <c r="D46" s="108">
        <f t="shared" si="31"/>
        <v>5.6036221813780427E-3</v>
      </c>
      <c r="E46" s="280">
        <v>750</v>
      </c>
      <c r="F46" s="108">
        <f t="shared" si="32"/>
        <v>7.2025664173115851E-3</v>
      </c>
      <c r="G46" s="280">
        <v>750</v>
      </c>
      <c r="H46" s="108">
        <f t="shared" si="33"/>
        <v>4.3420929003113104E-3</v>
      </c>
      <c r="I46" s="280">
        <v>750</v>
      </c>
      <c r="J46" s="108">
        <f t="shared" si="34"/>
        <v>4.917464435514168E-3</v>
      </c>
      <c r="K46" s="280">
        <v>750</v>
      </c>
      <c r="L46" s="108">
        <f t="shared" si="35"/>
        <v>5.3766175120634266E-3</v>
      </c>
      <c r="M46" s="280">
        <v>750</v>
      </c>
      <c r="N46" s="108">
        <f t="shared" si="36"/>
        <v>3.7917277922232514E-3</v>
      </c>
      <c r="O46" s="280">
        <v>750</v>
      </c>
      <c r="P46" s="108">
        <f t="shared" si="45"/>
        <v>5.9890456182403531E-3</v>
      </c>
      <c r="Q46" s="280">
        <v>750</v>
      </c>
      <c r="R46" s="108">
        <f t="shared" si="37"/>
        <v>4.8231113222579778E-3</v>
      </c>
      <c r="S46" s="280">
        <v>750</v>
      </c>
      <c r="T46" s="108">
        <f t="shared" si="38"/>
        <v>4.7877809661223325E-3</v>
      </c>
      <c r="U46" s="280">
        <v>750</v>
      </c>
      <c r="V46" s="108">
        <f t="shared" si="46"/>
        <v>6.0359827982672323E-3</v>
      </c>
      <c r="W46" s="280">
        <v>750</v>
      </c>
      <c r="X46" s="144">
        <f t="shared" si="39"/>
        <v>5.9325107382846767E-3</v>
      </c>
      <c r="Y46" s="280">
        <v>750</v>
      </c>
      <c r="Z46" s="49">
        <f t="shared" si="40"/>
        <v>3.9270895258840871E-3</v>
      </c>
      <c r="AA46" s="405">
        <f t="shared" si="47"/>
        <v>9000</v>
      </c>
      <c r="AB46" s="416">
        <f t="shared" si="41"/>
        <v>5.0574710722896821E-3</v>
      </c>
      <c r="AC46" s="407">
        <f t="shared" si="1"/>
        <v>750</v>
      </c>
      <c r="AD46" s="417">
        <f t="shared" si="42"/>
        <v>5.0574710722896829E-3</v>
      </c>
      <c r="AE46" s="214"/>
      <c r="AF46" s="54"/>
      <c r="AG46" s="5"/>
      <c r="AH46" s="21">
        <f t="shared" si="2"/>
        <v>3817.5</v>
      </c>
    </row>
    <row r="47" spans="1:34" s="289" customFormat="1" ht="21.75" customHeight="1">
      <c r="A47" s="128">
        <v>6106</v>
      </c>
      <c r="B47" s="371" t="s">
        <v>6</v>
      </c>
      <c r="C47" s="402"/>
      <c r="D47" s="415">
        <f t="shared" si="31"/>
        <v>0</v>
      </c>
      <c r="E47" s="402"/>
      <c r="F47" s="415">
        <f t="shared" si="32"/>
        <v>0</v>
      </c>
      <c r="G47" s="363"/>
      <c r="H47" s="415">
        <f t="shared" si="33"/>
        <v>0</v>
      </c>
      <c r="I47" s="402"/>
      <c r="J47" s="415">
        <f t="shared" si="34"/>
        <v>0</v>
      </c>
      <c r="K47" s="402"/>
      <c r="L47" s="415">
        <f t="shared" si="35"/>
        <v>0</v>
      </c>
      <c r="M47" s="464"/>
      <c r="N47" s="415">
        <f t="shared" si="36"/>
        <v>0</v>
      </c>
      <c r="O47" s="464"/>
      <c r="P47" s="415">
        <f t="shared" si="45"/>
        <v>0</v>
      </c>
      <c r="Q47" s="464">
        <v>0</v>
      </c>
      <c r="R47" s="415">
        <f t="shared" si="37"/>
        <v>0</v>
      </c>
      <c r="S47" s="464">
        <v>0</v>
      </c>
      <c r="T47" s="415">
        <f t="shared" si="38"/>
        <v>0</v>
      </c>
      <c r="U47" s="318">
        <v>0</v>
      </c>
      <c r="V47" s="415">
        <f t="shared" si="46"/>
        <v>0</v>
      </c>
      <c r="W47" s="318">
        <v>0</v>
      </c>
      <c r="X47" s="415">
        <f t="shared" si="39"/>
        <v>0</v>
      </c>
      <c r="Y47" s="318">
        <v>0</v>
      </c>
      <c r="Z47" s="415">
        <f t="shared" si="40"/>
        <v>0</v>
      </c>
      <c r="AA47" s="405">
        <f t="shared" si="47"/>
        <v>0</v>
      </c>
      <c r="AB47" s="416">
        <f t="shared" si="41"/>
        <v>0</v>
      </c>
      <c r="AC47" s="407">
        <f t="shared" si="1"/>
        <v>0</v>
      </c>
      <c r="AD47" s="417">
        <f t="shared" si="42"/>
        <v>0</v>
      </c>
      <c r="AE47" s="214"/>
      <c r="AF47" s="54"/>
      <c r="AH47" s="21">
        <f t="shared" si="2"/>
        <v>0</v>
      </c>
    </row>
    <row r="48" spans="1:34" s="289" customFormat="1" ht="21.75" customHeight="1">
      <c r="A48" s="128">
        <v>6107</v>
      </c>
      <c r="B48" s="371" t="s">
        <v>7</v>
      </c>
      <c r="C48" s="402"/>
      <c r="D48" s="415">
        <f t="shared" si="31"/>
        <v>0</v>
      </c>
      <c r="E48" s="402"/>
      <c r="F48" s="415">
        <f t="shared" si="32"/>
        <v>0</v>
      </c>
      <c r="G48" s="363"/>
      <c r="H48" s="415">
        <f t="shared" si="33"/>
        <v>0</v>
      </c>
      <c r="I48" s="402"/>
      <c r="J48" s="415">
        <f t="shared" si="34"/>
        <v>0</v>
      </c>
      <c r="K48" s="402"/>
      <c r="L48" s="415">
        <f t="shared" si="35"/>
        <v>0</v>
      </c>
      <c r="M48" s="464"/>
      <c r="N48" s="415">
        <f t="shared" si="36"/>
        <v>0</v>
      </c>
      <c r="O48" s="464"/>
      <c r="P48" s="415">
        <f t="shared" si="45"/>
        <v>0</v>
      </c>
      <c r="Q48" s="464">
        <v>0</v>
      </c>
      <c r="R48" s="415">
        <f t="shared" si="37"/>
        <v>0</v>
      </c>
      <c r="S48" s="464">
        <v>0</v>
      </c>
      <c r="T48" s="415">
        <f t="shared" si="38"/>
        <v>0</v>
      </c>
      <c r="U48" s="318">
        <v>0</v>
      </c>
      <c r="V48" s="415">
        <f t="shared" si="46"/>
        <v>0</v>
      </c>
      <c r="W48" s="318">
        <v>0</v>
      </c>
      <c r="X48" s="415">
        <f t="shared" si="39"/>
        <v>0</v>
      </c>
      <c r="Y48" s="318">
        <v>0</v>
      </c>
      <c r="Z48" s="415">
        <f t="shared" si="40"/>
        <v>0</v>
      </c>
      <c r="AA48" s="405">
        <f t="shared" si="47"/>
        <v>0</v>
      </c>
      <c r="AB48" s="416">
        <f t="shared" si="41"/>
        <v>0</v>
      </c>
      <c r="AC48" s="407">
        <f t="shared" si="1"/>
        <v>0</v>
      </c>
      <c r="AD48" s="417">
        <f t="shared" si="42"/>
        <v>0</v>
      </c>
      <c r="AE48" s="214"/>
      <c r="AF48" s="54"/>
      <c r="AH48" s="21">
        <f t="shared" si="2"/>
        <v>0</v>
      </c>
    </row>
    <row r="49" spans="1:34" s="289" customFormat="1" ht="21.75" customHeight="1">
      <c r="A49" s="128">
        <v>6108</v>
      </c>
      <c r="B49" s="374" t="s">
        <v>8</v>
      </c>
      <c r="C49" s="402"/>
      <c r="D49" s="415">
        <f t="shared" si="31"/>
        <v>0</v>
      </c>
      <c r="E49" s="402"/>
      <c r="F49" s="415">
        <f t="shared" si="32"/>
        <v>0</v>
      </c>
      <c r="G49" s="363"/>
      <c r="H49" s="415">
        <f t="shared" si="33"/>
        <v>0</v>
      </c>
      <c r="I49" s="402"/>
      <c r="J49" s="415">
        <f t="shared" si="34"/>
        <v>0</v>
      </c>
      <c r="K49" s="402"/>
      <c r="L49" s="415">
        <f t="shared" si="35"/>
        <v>0</v>
      </c>
      <c r="M49" s="464"/>
      <c r="N49" s="415">
        <f t="shared" si="36"/>
        <v>0</v>
      </c>
      <c r="O49" s="464"/>
      <c r="P49" s="415">
        <f t="shared" si="45"/>
        <v>0</v>
      </c>
      <c r="Q49" s="464">
        <v>0</v>
      </c>
      <c r="R49" s="415">
        <f t="shared" si="37"/>
        <v>0</v>
      </c>
      <c r="S49" s="464">
        <v>0</v>
      </c>
      <c r="T49" s="415">
        <f t="shared" si="38"/>
        <v>0</v>
      </c>
      <c r="U49" s="318">
        <v>0</v>
      </c>
      <c r="V49" s="415">
        <f t="shared" si="46"/>
        <v>0</v>
      </c>
      <c r="W49" s="318">
        <v>0</v>
      </c>
      <c r="X49" s="415">
        <f t="shared" si="39"/>
        <v>0</v>
      </c>
      <c r="Y49" s="318">
        <v>0</v>
      </c>
      <c r="Z49" s="415">
        <f t="shared" si="40"/>
        <v>0</v>
      </c>
      <c r="AA49" s="405">
        <f t="shared" si="47"/>
        <v>0</v>
      </c>
      <c r="AB49" s="416">
        <f t="shared" si="41"/>
        <v>0</v>
      </c>
      <c r="AC49" s="407">
        <f t="shared" si="1"/>
        <v>0</v>
      </c>
      <c r="AD49" s="417">
        <f t="shared" si="42"/>
        <v>0</v>
      </c>
      <c r="AE49" s="214"/>
      <c r="AF49" s="54"/>
      <c r="AH49" s="21">
        <f t="shared" si="2"/>
        <v>0</v>
      </c>
    </row>
    <row r="50" spans="1:34" s="289" customFormat="1" ht="21.75" customHeight="1">
      <c r="A50" s="128">
        <v>6109</v>
      </c>
      <c r="B50" s="374" t="s">
        <v>79</v>
      </c>
      <c r="C50" s="402"/>
      <c r="D50" s="415">
        <f t="shared" si="31"/>
        <v>0</v>
      </c>
      <c r="E50" s="402"/>
      <c r="F50" s="415">
        <f t="shared" si="32"/>
        <v>0</v>
      </c>
      <c r="G50" s="363"/>
      <c r="H50" s="415">
        <f t="shared" si="33"/>
        <v>0</v>
      </c>
      <c r="I50" s="402"/>
      <c r="J50" s="415">
        <f t="shared" si="34"/>
        <v>0</v>
      </c>
      <c r="K50" s="402"/>
      <c r="L50" s="415">
        <f t="shared" si="35"/>
        <v>0</v>
      </c>
      <c r="M50" s="464"/>
      <c r="N50" s="415">
        <f t="shared" si="36"/>
        <v>0</v>
      </c>
      <c r="O50" s="464"/>
      <c r="P50" s="415">
        <f t="shared" si="45"/>
        <v>0</v>
      </c>
      <c r="Q50" s="464">
        <v>0</v>
      </c>
      <c r="R50" s="415">
        <f t="shared" si="37"/>
        <v>0</v>
      </c>
      <c r="S50" s="464">
        <v>0</v>
      </c>
      <c r="T50" s="415">
        <f t="shared" si="38"/>
        <v>0</v>
      </c>
      <c r="U50" s="318">
        <v>0</v>
      </c>
      <c r="V50" s="415">
        <f t="shared" si="46"/>
        <v>0</v>
      </c>
      <c r="W50" s="318">
        <v>0</v>
      </c>
      <c r="X50" s="415">
        <f t="shared" si="39"/>
        <v>0</v>
      </c>
      <c r="Y50" s="318">
        <v>0</v>
      </c>
      <c r="Z50" s="415">
        <f t="shared" si="40"/>
        <v>0</v>
      </c>
      <c r="AA50" s="405">
        <f t="shared" si="47"/>
        <v>0</v>
      </c>
      <c r="AB50" s="416">
        <f t="shared" si="41"/>
        <v>0</v>
      </c>
      <c r="AC50" s="407">
        <f t="shared" si="1"/>
        <v>0</v>
      </c>
      <c r="AD50" s="417">
        <f t="shared" si="42"/>
        <v>0</v>
      </c>
      <c r="AE50" s="214"/>
      <c r="AF50" s="54"/>
      <c r="AH50" s="21">
        <f t="shared" si="2"/>
        <v>0</v>
      </c>
    </row>
    <row r="51" spans="1:34" s="289" customFormat="1" ht="21.75" customHeight="1">
      <c r="A51" s="128">
        <v>6110</v>
      </c>
      <c r="B51" s="371" t="s">
        <v>9</v>
      </c>
      <c r="C51" s="55">
        <v>75</v>
      </c>
      <c r="D51" s="49">
        <f t="shared" ref="D51" si="48">C127/C$12</f>
        <v>7.47149624183739E-4</v>
      </c>
      <c r="E51" s="55">
        <v>75</v>
      </c>
      <c r="F51" s="49">
        <f t="shared" ref="F51" si="49">E127/E$12</f>
        <v>9.6034218897487805E-4</v>
      </c>
      <c r="G51" s="55">
        <v>75</v>
      </c>
      <c r="H51" s="49">
        <f t="shared" ref="H51" si="50">G127/G$12</f>
        <v>5.7894572004150806E-4</v>
      </c>
      <c r="I51" s="55">
        <v>75</v>
      </c>
      <c r="J51" s="49">
        <f t="shared" ref="J51" si="51">I127/I$12</f>
        <v>6.5566192473522241E-4</v>
      </c>
      <c r="K51" s="55">
        <v>75</v>
      </c>
      <c r="L51" s="49">
        <f t="shared" ref="L51" si="52">K127/K$12</f>
        <v>7.1688233494179019E-4</v>
      </c>
      <c r="M51" s="55">
        <v>75</v>
      </c>
      <c r="N51" s="49">
        <f t="shared" ref="N51" si="53">M127/M$12</f>
        <v>5.0556370562976685E-4</v>
      </c>
      <c r="O51" s="55">
        <v>75</v>
      </c>
      <c r="P51" s="49">
        <f t="shared" ref="P51" si="54">O127/O$12</f>
        <v>7.9853941576538037E-4</v>
      </c>
      <c r="Q51" s="55">
        <v>75</v>
      </c>
      <c r="R51" s="49">
        <f t="shared" ref="R51" si="55">Q127/Q$12</f>
        <v>6.4308150963439696E-4</v>
      </c>
      <c r="S51" s="55">
        <v>75</v>
      </c>
      <c r="T51" s="49">
        <f t="shared" ref="T51" si="56">S127/S$12</f>
        <v>6.3837079548297764E-4</v>
      </c>
      <c r="U51" s="55">
        <v>75</v>
      </c>
      <c r="V51" s="49">
        <f t="shared" ref="V51" si="57">U127/U$12</f>
        <v>8.0479770643563091E-4</v>
      </c>
      <c r="W51" s="55">
        <v>75</v>
      </c>
      <c r="X51" s="49">
        <f t="shared" ref="X51" si="58">W127/W$12</f>
        <v>7.9100143177129021E-4</v>
      </c>
      <c r="Y51" s="55">
        <v>75</v>
      </c>
      <c r="Z51" s="49">
        <f t="shared" ref="Z51" si="59">Y127/Y$12</f>
        <v>5.2361193678454501E-4</v>
      </c>
      <c r="AA51" s="405">
        <f t="shared" si="47"/>
        <v>900</v>
      </c>
      <c r="AB51" s="416">
        <f t="shared" si="41"/>
        <v>5.0574710722896819E-4</v>
      </c>
      <c r="AC51" s="407">
        <f t="shared" si="1"/>
        <v>75</v>
      </c>
      <c r="AD51" s="417">
        <f t="shared" si="42"/>
        <v>5.0574710722896829E-4</v>
      </c>
      <c r="AE51" s="214"/>
      <c r="AF51" s="54"/>
      <c r="AH51" s="21">
        <f t="shared" si="2"/>
        <v>381.75</v>
      </c>
    </row>
    <row r="52" spans="1:34" s="289" customFormat="1" ht="21.75" customHeight="1">
      <c r="A52" s="128">
        <v>6111</v>
      </c>
      <c r="B52" s="374" t="s">
        <v>10</v>
      </c>
      <c r="C52" s="418"/>
      <c r="D52" s="415">
        <f t="shared" ref="D52:D60" si="60">C128/C$12</f>
        <v>0</v>
      </c>
      <c r="E52" s="418"/>
      <c r="F52" s="415">
        <f t="shared" ref="F52:F60" si="61">E128/E$12</f>
        <v>0</v>
      </c>
      <c r="G52" s="363"/>
      <c r="H52" s="415">
        <f t="shared" ref="H52:H60" si="62">G128/G$12</f>
        <v>0</v>
      </c>
      <c r="I52" s="418"/>
      <c r="J52" s="415">
        <f t="shared" ref="J52:J60" si="63">I128/I$12</f>
        <v>0</v>
      </c>
      <c r="K52" s="418"/>
      <c r="L52" s="415">
        <f t="shared" ref="L52:L60" si="64">K128/K$12</f>
        <v>0</v>
      </c>
      <c r="M52" s="462"/>
      <c r="N52" s="415">
        <f t="shared" ref="N52:N60" si="65">M128/M$12</f>
        <v>0</v>
      </c>
      <c r="O52" s="462"/>
      <c r="P52" s="415">
        <f t="shared" ref="P52:P60" si="66">O128/O$12</f>
        <v>0</v>
      </c>
      <c r="Q52" s="462">
        <v>0</v>
      </c>
      <c r="R52" s="415">
        <f t="shared" ref="R52:R60" si="67">Q128/Q$12</f>
        <v>0</v>
      </c>
      <c r="S52" s="462">
        <v>0</v>
      </c>
      <c r="T52" s="415">
        <f t="shared" ref="T52:T60" si="68">S128/S$12</f>
        <v>0</v>
      </c>
      <c r="U52" s="317">
        <v>0</v>
      </c>
      <c r="V52" s="415">
        <f t="shared" ref="V52:V60" si="69">U128/U$12</f>
        <v>0</v>
      </c>
      <c r="W52" s="317">
        <v>0</v>
      </c>
      <c r="X52" s="415">
        <f t="shared" ref="X52:X60" si="70">W128/W$12</f>
        <v>0</v>
      </c>
      <c r="Y52" s="317">
        <v>0</v>
      </c>
      <c r="Z52" s="415">
        <f t="shared" ref="Z52:Z60" si="71">Y128/Y$12</f>
        <v>0</v>
      </c>
      <c r="AA52" s="405">
        <f t="shared" si="47"/>
        <v>0</v>
      </c>
      <c r="AB52" s="416">
        <f t="shared" si="41"/>
        <v>0</v>
      </c>
      <c r="AC52" s="407">
        <f t="shared" si="1"/>
        <v>0</v>
      </c>
      <c r="AD52" s="417">
        <f t="shared" si="42"/>
        <v>0</v>
      </c>
      <c r="AE52" s="214"/>
      <c r="AF52" s="222"/>
      <c r="AH52" s="21">
        <f t="shared" si="2"/>
        <v>0</v>
      </c>
    </row>
    <row r="53" spans="1:34" s="289" customFormat="1" ht="21.75" customHeight="1">
      <c r="A53" s="128">
        <v>6112</v>
      </c>
      <c r="B53" s="375" t="s">
        <v>11</v>
      </c>
      <c r="C53" s="46">
        <v>1000</v>
      </c>
      <c r="D53" s="49">
        <f t="shared" si="60"/>
        <v>1.4482897745102434E-2</v>
      </c>
      <c r="E53" s="46">
        <v>1000</v>
      </c>
      <c r="F53" s="49">
        <f t="shared" si="61"/>
        <v>1.5762053133849267E-2</v>
      </c>
      <c r="G53" s="46">
        <v>1000</v>
      </c>
      <c r="H53" s="49">
        <f t="shared" si="62"/>
        <v>1.3473674320249051E-2</v>
      </c>
      <c r="I53" s="46">
        <v>1000</v>
      </c>
      <c r="J53" s="49">
        <f t="shared" si="63"/>
        <v>1.3933971548411335E-2</v>
      </c>
      <c r="K53" s="46">
        <v>1000</v>
      </c>
      <c r="L53" s="49">
        <f t="shared" si="64"/>
        <v>1.4301294009650741E-2</v>
      </c>
      <c r="M53" s="46">
        <v>1000</v>
      </c>
      <c r="N53" s="49">
        <f t="shared" si="65"/>
        <v>1.30333822337786E-2</v>
      </c>
      <c r="O53" s="46">
        <v>1000</v>
      </c>
      <c r="P53" s="49">
        <f t="shared" si="66"/>
        <v>1.4791236494592283E-2</v>
      </c>
      <c r="Q53" s="46">
        <v>1000</v>
      </c>
      <c r="R53" s="49">
        <f t="shared" si="67"/>
        <v>1.3858489057806383E-2</v>
      </c>
      <c r="S53" s="46">
        <v>1000</v>
      </c>
      <c r="T53" s="49">
        <f t="shared" si="68"/>
        <v>1.3830224772897866E-2</v>
      </c>
      <c r="U53" s="46">
        <v>1000</v>
      </c>
      <c r="V53" s="49">
        <f t="shared" si="69"/>
        <v>1.4828786238613787E-2</v>
      </c>
      <c r="W53" s="46">
        <v>1000</v>
      </c>
      <c r="X53" s="49">
        <f t="shared" si="70"/>
        <v>1.4746008590627741E-2</v>
      </c>
      <c r="Y53" s="46">
        <v>1000</v>
      </c>
      <c r="Z53" s="49">
        <f t="shared" si="71"/>
        <v>1.3141671620707271E-2</v>
      </c>
      <c r="AA53" s="405">
        <f t="shared" si="47"/>
        <v>12000</v>
      </c>
      <c r="AB53" s="416">
        <f t="shared" si="41"/>
        <v>6.7432947630529094E-3</v>
      </c>
      <c r="AC53" s="407">
        <f t="shared" si="1"/>
        <v>1000</v>
      </c>
      <c r="AD53" s="417">
        <f t="shared" si="42"/>
        <v>6.7432947630529103E-3</v>
      </c>
      <c r="AE53" s="214"/>
      <c r="AF53" s="54"/>
      <c r="AH53" s="21">
        <f t="shared" si="2"/>
        <v>5090</v>
      </c>
    </row>
    <row r="54" spans="1:34" s="289" customFormat="1" ht="21.75" customHeight="1">
      <c r="A54" s="128">
        <v>6113</v>
      </c>
      <c r="B54" s="375" t="s">
        <v>12</v>
      </c>
      <c r="C54" s="418"/>
      <c r="D54" s="415">
        <f t="shared" si="60"/>
        <v>0</v>
      </c>
      <c r="E54" s="418"/>
      <c r="F54" s="415">
        <f t="shared" si="61"/>
        <v>0</v>
      </c>
      <c r="G54" s="363"/>
      <c r="H54" s="415">
        <f t="shared" si="62"/>
        <v>0</v>
      </c>
      <c r="I54" s="418"/>
      <c r="J54" s="415">
        <f t="shared" si="63"/>
        <v>0</v>
      </c>
      <c r="K54" s="418"/>
      <c r="L54" s="415">
        <f t="shared" si="64"/>
        <v>0</v>
      </c>
      <c r="M54" s="462"/>
      <c r="N54" s="415">
        <f t="shared" si="65"/>
        <v>0</v>
      </c>
      <c r="O54" s="462"/>
      <c r="P54" s="415">
        <f t="shared" si="66"/>
        <v>0</v>
      </c>
      <c r="Q54" s="462">
        <v>0</v>
      </c>
      <c r="R54" s="415">
        <f t="shared" si="67"/>
        <v>0</v>
      </c>
      <c r="S54" s="462">
        <v>0</v>
      </c>
      <c r="T54" s="415">
        <f t="shared" si="68"/>
        <v>0</v>
      </c>
      <c r="U54" s="317">
        <v>0</v>
      </c>
      <c r="V54" s="415">
        <f t="shared" si="69"/>
        <v>0</v>
      </c>
      <c r="W54" s="317">
        <v>0</v>
      </c>
      <c r="X54" s="415">
        <f t="shared" si="70"/>
        <v>0</v>
      </c>
      <c r="Y54" s="317">
        <v>0</v>
      </c>
      <c r="Z54" s="415">
        <f t="shared" si="71"/>
        <v>0</v>
      </c>
      <c r="AA54" s="405">
        <f t="shared" si="47"/>
        <v>0</v>
      </c>
      <c r="AB54" s="416">
        <f t="shared" si="41"/>
        <v>0</v>
      </c>
      <c r="AC54" s="407">
        <f t="shared" si="1"/>
        <v>0</v>
      </c>
      <c r="AD54" s="417">
        <f t="shared" si="42"/>
        <v>0</v>
      </c>
      <c r="AE54" s="214"/>
      <c r="AF54" s="54"/>
      <c r="AH54" s="21">
        <f t="shared" si="2"/>
        <v>0</v>
      </c>
    </row>
    <row r="55" spans="1:34" s="289" customFormat="1" ht="21.75" customHeight="1">
      <c r="A55" s="128">
        <v>6114</v>
      </c>
      <c r="B55" s="374" t="s">
        <v>88</v>
      </c>
      <c r="C55" s="55">
        <v>150</v>
      </c>
      <c r="D55" s="49">
        <f t="shared" si="60"/>
        <v>0.31423977461016606</v>
      </c>
      <c r="E55" s="55">
        <v>150</v>
      </c>
      <c r="F55" s="49">
        <f t="shared" si="61"/>
        <v>0.25743800531575506</v>
      </c>
      <c r="G55" s="55">
        <v>150</v>
      </c>
      <c r="H55" s="49">
        <f t="shared" si="62"/>
        <v>0.3279196873576456</v>
      </c>
      <c r="I55" s="55">
        <v>150</v>
      </c>
      <c r="J55" s="49">
        <f t="shared" si="63"/>
        <v>0.27401399374319352</v>
      </c>
      <c r="K55" s="55">
        <v>150</v>
      </c>
      <c r="L55" s="49">
        <f t="shared" si="64"/>
        <v>0.34010046236382913</v>
      </c>
      <c r="M55" s="55">
        <v>150</v>
      </c>
      <c r="N55" s="49">
        <f t="shared" si="65"/>
        <v>0.2851188763091192</v>
      </c>
      <c r="O55" s="55">
        <v>150</v>
      </c>
      <c r="P55" s="49">
        <f t="shared" si="66"/>
        <v>0.25464844739827708</v>
      </c>
      <c r="Q55" s="55">
        <v>150</v>
      </c>
      <c r="R55" s="49">
        <f t="shared" si="67"/>
        <v>0.28251333509190474</v>
      </c>
      <c r="S55" s="55">
        <v>150</v>
      </c>
      <c r="T55" s="49">
        <f t="shared" si="68"/>
        <v>0.24618785463126755</v>
      </c>
      <c r="U55" s="55">
        <v>150</v>
      </c>
      <c r="V55" s="49">
        <f t="shared" si="69"/>
        <v>0.29955024459308216</v>
      </c>
      <c r="W55" s="55">
        <v>150</v>
      </c>
      <c r="X55" s="49">
        <f t="shared" si="70"/>
        <v>0.33410237882408139</v>
      </c>
      <c r="Y55" s="55">
        <v>150</v>
      </c>
      <c r="Z55" s="49">
        <f t="shared" si="71"/>
        <v>0.34979849525791806</v>
      </c>
      <c r="AA55" s="405">
        <f t="shared" si="47"/>
        <v>1800</v>
      </c>
      <c r="AB55" s="416">
        <f t="shared" si="41"/>
        <v>1.0114942144579364E-3</v>
      </c>
      <c r="AC55" s="407">
        <f t="shared" si="1"/>
        <v>150</v>
      </c>
      <c r="AD55" s="417">
        <f t="shared" si="42"/>
        <v>1.0114942144579366E-3</v>
      </c>
      <c r="AE55" s="214"/>
      <c r="AF55" s="54"/>
      <c r="AH55" s="21">
        <f t="shared" si="2"/>
        <v>763.5</v>
      </c>
    </row>
    <row r="56" spans="1:34" s="289" customFormat="1" ht="21.75" customHeight="1">
      <c r="A56" s="128">
        <v>6115</v>
      </c>
      <c r="B56" s="374" t="s">
        <v>13</v>
      </c>
      <c r="C56" s="55">
        <v>300</v>
      </c>
      <c r="D56" s="49">
        <f t="shared" si="60"/>
        <v>0</v>
      </c>
      <c r="E56" s="55">
        <v>300</v>
      </c>
      <c r="F56" s="49">
        <f t="shared" si="61"/>
        <v>0</v>
      </c>
      <c r="G56" s="55">
        <v>300</v>
      </c>
      <c r="H56" s="49">
        <f t="shared" si="62"/>
        <v>0</v>
      </c>
      <c r="I56" s="55">
        <v>300</v>
      </c>
      <c r="J56" s="49">
        <f t="shared" si="63"/>
        <v>0</v>
      </c>
      <c r="K56" s="55">
        <v>300</v>
      </c>
      <c r="L56" s="49">
        <f t="shared" si="64"/>
        <v>0</v>
      </c>
      <c r="M56" s="55">
        <v>300</v>
      </c>
      <c r="N56" s="49">
        <f t="shared" si="65"/>
        <v>0</v>
      </c>
      <c r="O56" s="55">
        <v>300</v>
      </c>
      <c r="P56" s="49">
        <f t="shared" si="66"/>
        <v>0</v>
      </c>
      <c r="Q56" s="55">
        <v>300</v>
      </c>
      <c r="R56" s="49">
        <f t="shared" si="67"/>
        <v>0</v>
      </c>
      <c r="S56" s="55">
        <v>300</v>
      </c>
      <c r="T56" s="49">
        <f t="shared" si="68"/>
        <v>0</v>
      </c>
      <c r="U56" s="55">
        <v>300</v>
      </c>
      <c r="V56" s="49">
        <f t="shared" si="69"/>
        <v>0</v>
      </c>
      <c r="W56" s="55">
        <v>300</v>
      </c>
      <c r="X56" s="49">
        <f t="shared" si="70"/>
        <v>0</v>
      </c>
      <c r="Y56" s="55">
        <v>300</v>
      </c>
      <c r="Z56" s="49">
        <f t="shared" si="71"/>
        <v>0</v>
      </c>
      <c r="AA56" s="405">
        <f t="shared" si="47"/>
        <v>3600</v>
      </c>
      <c r="AB56" s="416">
        <f t="shared" si="41"/>
        <v>2.0229884289158727E-3</v>
      </c>
      <c r="AC56" s="407">
        <f t="shared" si="1"/>
        <v>300</v>
      </c>
      <c r="AD56" s="417">
        <f t="shared" si="42"/>
        <v>2.0229884289158732E-3</v>
      </c>
      <c r="AE56" s="214"/>
      <c r="AF56" s="54"/>
      <c r="AH56" s="21">
        <f t="shared" si="2"/>
        <v>1527</v>
      </c>
    </row>
    <row r="57" spans="1:34" s="289" customFormat="1" ht="21.75" customHeight="1">
      <c r="A57" s="128">
        <v>6116</v>
      </c>
      <c r="B57" s="375" t="s">
        <v>14</v>
      </c>
      <c r="C57" s="55">
        <f>177.76*1.2</f>
        <v>213.31199999999998</v>
      </c>
      <c r="D57" s="49">
        <f t="shared" si="60"/>
        <v>0</v>
      </c>
      <c r="E57" s="55">
        <f>177.76*1.2</f>
        <v>213.31199999999998</v>
      </c>
      <c r="F57" s="49">
        <f t="shared" si="61"/>
        <v>0</v>
      </c>
      <c r="G57" s="55">
        <f>177.76*1.2</f>
        <v>213.31199999999998</v>
      </c>
      <c r="H57" s="49">
        <f t="shared" si="62"/>
        <v>0</v>
      </c>
      <c r="I57" s="55">
        <f>177.76*1.2</f>
        <v>213.31199999999998</v>
      </c>
      <c r="J57" s="49">
        <f t="shared" si="63"/>
        <v>0</v>
      </c>
      <c r="K57" s="55">
        <f>177.76*1.2</f>
        <v>213.31199999999998</v>
      </c>
      <c r="L57" s="49">
        <f t="shared" si="64"/>
        <v>0</v>
      </c>
      <c r="M57" s="55">
        <f>177.76*1.2</f>
        <v>213.31199999999998</v>
      </c>
      <c r="N57" s="49">
        <f t="shared" si="65"/>
        <v>0</v>
      </c>
      <c r="O57" s="55">
        <f>177.76*1.2</f>
        <v>213.31199999999998</v>
      </c>
      <c r="P57" s="49">
        <f t="shared" si="66"/>
        <v>0</v>
      </c>
      <c r="Q57" s="55">
        <f>177.76*1.2</f>
        <v>213.31199999999998</v>
      </c>
      <c r="R57" s="49">
        <f t="shared" si="67"/>
        <v>0</v>
      </c>
      <c r="S57" s="55">
        <f>177.76*1.2</f>
        <v>213.31199999999998</v>
      </c>
      <c r="T57" s="49">
        <f t="shared" si="68"/>
        <v>0</v>
      </c>
      <c r="U57" s="55">
        <f>177.76*1.2</f>
        <v>213.31199999999998</v>
      </c>
      <c r="V57" s="49">
        <f t="shared" si="69"/>
        <v>0</v>
      </c>
      <c r="W57" s="55">
        <f>177.76*1.2</f>
        <v>213.31199999999998</v>
      </c>
      <c r="X57" s="49">
        <f t="shared" si="70"/>
        <v>0</v>
      </c>
      <c r="Y57" s="55">
        <f>177.76*1.2</f>
        <v>213.31199999999998</v>
      </c>
      <c r="Z57" s="49">
        <f t="shared" si="71"/>
        <v>0</v>
      </c>
      <c r="AA57" s="405">
        <f t="shared" si="47"/>
        <v>2559.7439999999992</v>
      </c>
      <c r="AB57" s="416">
        <f t="shared" si="41"/>
        <v>1.4384256924963419E-3</v>
      </c>
      <c r="AC57" s="407">
        <f t="shared" si="1"/>
        <v>213.31199999999993</v>
      </c>
      <c r="AD57" s="417">
        <f t="shared" si="42"/>
        <v>1.4384256924963419E-3</v>
      </c>
      <c r="AE57" s="214"/>
      <c r="AF57" s="54"/>
      <c r="AH57" s="21">
        <f t="shared" si="2"/>
        <v>1085.7580799999998</v>
      </c>
    </row>
    <row r="58" spans="1:34" s="289" customFormat="1" ht="21.75" customHeight="1">
      <c r="A58" s="128">
        <v>6117</v>
      </c>
      <c r="B58" s="374" t="s">
        <v>15</v>
      </c>
      <c r="C58" s="418"/>
      <c r="D58" s="415">
        <f t="shared" si="60"/>
        <v>0</v>
      </c>
      <c r="E58" s="418"/>
      <c r="F58" s="415">
        <f t="shared" si="61"/>
        <v>0</v>
      </c>
      <c r="G58" s="363"/>
      <c r="H58" s="415">
        <f t="shared" si="62"/>
        <v>0</v>
      </c>
      <c r="I58" s="418"/>
      <c r="J58" s="415">
        <f t="shared" si="63"/>
        <v>0</v>
      </c>
      <c r="K58" s="418"/>
      <c r="L58" s="415">
        <f t="shared" si="64"/>
        <v>0</v>
      </c>
      <c r="M58" s="462"/>
      <c r="N58" s="415">
        <f t="shared" si="65"/>
        <v>0</v>
      </c>
      <c r="O58" s="462"/>
      <c r="P58" s="415">
        <f t="shared" si="66"/>
        <v>0</v>
      </c>
      <c r="Q58" s="462">
        <v>0</v>
      </c>
      <c r="R58" s="465">
        <f t="shared" si="67"/>
        <v>0</v>
      </c>
      <c r="S58" s="462">
        <v>0</v>
      </c>
      <c r="T58" s="465">
        <f t="shared" si="68"/>
        <v>0</v>
      </c>
      <c r="U58" s="317">
        <v>0</v>
      </c>
      <c r="V58" s="465">
        <f t="shared" si="69"/>
        <v>0</v>
      </c>
      <c r="W58" s="317">
        <v>0</v>
      </c>
      <c r="X58" s="466">
        <f t="shared" si="70"/>
        <v>0</v>
      </c>
      <c r="Y58" s="317">
        <v>0</v>
      </c>
      <c r="Z58" s="465">
        <f t="shared" si="71"/>
        <v>0</v>
      </c>
      <c r="AA58" s="405">
        <f t="shared" si="47"/>
        <v>0</v>
      </c>
      <c r="AB58" s="416">
        <f t="shared" si="41"/>
        <v>0</v>
      </c>
      <c r="AC58" s="407">
        <f t="shared" si="1"/>
        <v>0</v>
      </c>
      <c r="AD58" s="417">
        <f t="shared" si="42"/>
        <v>0</v>
      </c>
      <c r="AE58" s="216"/>
      <c r="AF58" s="54"/>
      <c r="AH58" s="21">
        <f t="shared" si="2"/>
        <v>0</v>
      </c>
    </row>
    <row r="59" spans="1:34" s="289" customFormat="1" ht="21.75" customHeight="1">
      <c r="A59" s="128">
        <v>6118</v>
      </c>
      <c r="B59" s="375" t="s">
        <v>16</v>
      </c>
      <c r="C59" s="55">
        <v>2500</v>
      </c>
      <c r="D59" s="49">
        <f t="shared" si="60"/>
        <v>0.31423977461016606</v>
      </c>
      <c r="E59" s="55">
        <v>2500</v>
      </c>
      <c r="F59" s="49">
        <f t="shared" si="61"/>
        <v>0.25743800531575506</v>
      </c>
      <c r="G59" s="55">
        <v>2500</v>
      </c>
      <c r="H59" s="49">
        <f t="shared" si="62"/>
        <v>0.3279196873576456</v>
      </c>
      <c r="I59" s="55">
        <v>2500</v>
      </c>
      <c r="J59" s="49">
        <f t="shared" si="63"/>
        <v>0.27401399374319352</v>
      </c>
      <c r="K59" s="55">
        <v>2500</v>
      </c>
      <c r="L59" s="49">
        <f t="shared" si="64"/>
        <v>0.34010046236382913</v>
      </c>
      <c r="M59" s="55">
        <v>5000</v>
      </c>
      <c r="N59" s="49">
        <f t="shared" si="65"/>
        <v>0.2851188763091192</v>
      </c>
      <c r="O59" s="55">
        <v>5000</v>
      </c>
      <c r="P59" s="49">
        <f t="shared" si="66"/>
        <v>0.25464844739827708</v>
      </c>
      <c r="Q59" s="55">
        <v>5000</v>
      </c>
      <c r="R59" s="49">
        <f t="shared" si="67"/>
        <v>0.28251333509190474</v>
      </c>
      <c r="S59" s="55">
        <v>5000</v>
      </c>
      <c r="T59" s="49">
        <f t="shared" si="68"/>
        <v>0.24618785463126755</v>
      </c>
      <c r="U59" s="55">
        <v>5000</v>
      </c>
      <c r="V59" s="49">
        <f t="shared" si="69"/>
        <v>0.29955024459308216</v>
      </c>
      <c r="W59" s="55">
        <v>5000</v>
      </c>
      <c r="X59" s="49">
        <f t="shared" si="70"/>
        <v>0.33410237882408139</v>
      </c>
      <c r="Y59" s="55">
        <v>5000</v>
      </c>
      <c r="Z59" s="49">
        <f t="shared" si="71"/>
        <v>0.34979849525791806</v>
      </c>
      <c r="AA59" s="405">
        <f t="shared" si="47"/>
        <v>47500</v>
      </c>
      <c r="AB59" s="416">
        <f t="shared" si="41"/>
        <v>2.6692208437084433E-2</v>
      </c>
      <c r="AC59" s="407">
        <f t="shared" si="1"/>
        <v>3958.3333333333335</v>
      </c>
      <c r="AD59" s="417">
        <f t="shared" si="42"/>
        <v>2.6692208437084437E-2</v>
      </c>
      <c r="AE59" s="214"/>
      <c r="AF59" s="54"/>
      <c r="AH59" s="21">
        <f t="shared" si="2"/>
        <v>25450</v>
      </c>
    </row>
    <row r="60" spans="1:34" s="289" customFormat="1" ht="21.75" customHeight="1">
      <c r="A60" s="128">
        <v>6119</v>
      </c>
      <c r="B60" s="374" t="s">
        <v>17</v>
      </c>
      <c r="C60" s="418"/>
      <c r="D60" s="415">
        <f t="shared" si="60"/>
        <v>0</v>
      </c>
      <c r="E60" s="418"/>
      <c r="F60" s="415">
        <f t="shared" si="61"/>
        <v>0</v>
      </c>
      <c r="G60" s="363"/>
      <c r="H60" s="415">
        <f t="shared" si="62"/>
        <v>0</v>
      </c>
      <c r="I60" s="418"/>
      <c r="J60" s="415">
        <f t="shared" si="63"/>
        <v>0</v>
      </c>
      <c r="K60" s="418"/>
      <c r="L60" s="415">
        <f t="shared" si="64"/>
        <v>0</v>
      </c>
      <c r="M60" s="462"/>
      <c r="N60" s="415">
        <f t="shared" si="65"/>
        <v>0</v>
      </c>
      <c r="O60" s="462"/>
      <c r="P60" s="415">
        <f t="shared" si="66"/>
        <v>0</v>
      </c>
      <c r="Q60" s="462">
        <v>0</v>
      </c>
      <c r="R60" s="415">
        <f t="shared" si="67"/>
        <v>0</v>
      </c>
      <c r="S60" s="462">
        <v>0</v>
      </c>
      <c r="T60" s="415">
        <f t="shared" si="68"/>
        <v>0</v>
      </c>
      <c r="U60" s="317">
        <v>0</v>
      </c>
      <c r="V60" s="415">
        <f t="shared" si="69"/>
        <v>0</v>
      </c>
      <c r="W60" s="317">
        <v>0</v>
      </c>
      <c r="X60" s="415">
        <f t="shared" si="70"/>
        <v>0</v>
      </c>
      <c r="Y60" s="317">
        <v>0</v>
      </c>
      <c r="Z60" s="415">
        <f t="shared" si="71"/>
        <v>0</v>
      </c>
      <c r="AA60" s="405">
        <f t="shared" si="47"/>
        <v>0</v>
      </c>
      <c r="AB60" s="416">
        <f t="shared" si="41"/>
        <v>0</v>
      </c>
      <c r="AC60" s="407">
        <f t="shared" si="1"/>
        <v>0</v>
      </c>
      <c r="AD60" s="417">
        <f t="shared" si="42"/>
        <v>0</v>
      </c>
      <c r="AE60" s="214"/>
      <c r="AF60" s="54"/>
      <c r="AG60" s="5"/>
      <c r="AH60" s="21">
        <f t="shared" si="2"/>
        <v>0</v>
      </c>
    </row>
    <row r="61" spans="1:34" s="289" customFormat="1" ht="21.75" customHeight="1">
      <c r="A61" s="128">
        <v>6120</v>
      </c>
      <c r="B61" s="374" t="s">
        <v>18</v>
      </c>
      <c r="C61" s="418"/>
      <c r="D61" s="415">
        <f t="shared" ref="D61:D66" si="72">C61/C$12</f>
        <v>0</v>
      </c>
      <c r="E61" s="418"/>
      <c r="F61" s="415">
        <f t="shared" ref="F61:F66" si="73">E61/E$12</f>
        <v>0</v>
      </c>
      <c r="G61" s="363"/>
      <c r="H61" s="415">
        <f t="shared" ref="H61:H66" si="74">G61/G$12</f>
        <v>0</v>
      </c>
      <c r="I61" s="418"/>
      <c r="J61" s="415">
        <f t="shared" ref="J61:J66" si="75">I61/I$12</f>
        <v>0</v>
      </c>
      <c r="K61" s="418"/>
      <c r="L61" s="415">
        <f t="shared" ref="L61:L66" si="76">K61/K$12</f>
        <v>0</v>
      </c>
      <c r="M61" s="462"/>
      <c r="N61" s="415">
        <f t="shared" ref="N61:N69" si="77">M61/M$12</f>
        <v>0</v>
      </c>
      <c r="O61" s="462"/>
      <c r="P61" s="415">
        <f t="shared" ref="P61:P69" si="78">O61/O$12</f>
        <v>0</v>
      </c>
      <c r="Q61" s="462">
        <v>0</v>
      </c>
      <c r="R61" s="415">
        <f t="shared" ref="R61:R66" si="79">Q61/Q$12</f>
        <v>0</v>
      </c>
      <c r="S61" s="462">
        <v>0</v>
      </c>
      <c r="T61" s="415">
        <f t="shared" ref="T61:T66" si="80">S61/S$12</f>
        <v>0</v>
      </c>
      <c r="U61" s="317">
        <v>0</v>
      </c>
      <c r="V61" s="415">
        <f t="shared" ref="V61:V66" si="81">U61/U$12</f>
        <v>0</v>
      </c>
      <c r="W61" s="317">
        <v>0</v>
      </c>
      <c r="X61" s="415">
        <f t="shared" ref="X61:X66" si="82">W61/W$12</f>
        <v>0</v>
      </c>
      <c r="Y61" s="317">
        <v>0</v>
      </c>
      <c r="Z61" s="415">
        <f t="shared" ref="Z61:Z66" si="83">Y61/Y$12</f>
        <v>0</v>
      </c>
      <c r="AA61" s="405">
        <f t="shared" si="47"/>
        <v>0</v>
      </c>
      <c r="AB61" s="416">
        <f t="shared" si="41"/>
        <v>0</v>
      </c>
      <c r="AC61" s="407">
        <f t="shared" si="1"/>
        <v>0</v>
      </c>
      <c r="AD61" s="417">
        <f t="shared" si="42"/>
        <v>0</v>
      </c>
      <c r="AE61" s="214"/>
      <c r="AF61" s="54"/>
      <c r="AH61" s="21">
        <f t="shared" si="2"/>
        <v>0</v>
      </c>
    </row>
    <row r="62" spans="1:34" s="289" customFormat="1" ht="21.75" customHeight="1">
      <c r="A62" s="128">
        <v>6121</v>
      </c>
      <c r="B62" s="371" t="s">
        <v>19</v>
      </c>
      <c r="C62" s="46">
        <v>50</v>
      </c>
      <c r="D62" s="49">
        <f t="shared" si="72"/>
        <v>3.735748120918695E-4</v>
      </c>
      <c r="E62" s="46">
        <v>50</v>
      </c>
      <c r="F62" s="49">
        <f t="shared" si="73"/>
        <v>4.8017109448743903E-4</v>
      </c>
      <c r="G62" s="46">
        <v>50</v>
      </c>
      <c r="H62" s="49">
        <f t="shared" si="74"/>
        <v>2.8947286002075403E-4</v>
      </c>
      <c r="I62" s="46">
        <v>50</v>
      </c>
      <c r="J62" s="49">
        <f t="shared" si="75"/>
        <v>3.278309623676112E-4</v>
      </c>
      <c r="K62" s="46">
        <v>50</v>
      </c>
      <c r="L62" s="49">
        <f t="shared" si="76"/>
        <v>3.5844116747089509E-4</v>
      </c>
      <c r="M62" s="46">
        <v>50</v>
      </c>
      <c r="N62" s="49">
        <f t="shared" si="77"/>
        <v>2.5278185281488343E-4</v>
      </c>
      <c r="O62" s="46">
        <v>50</v>
      </c>
      <c r="P62" s="49">
        <f t="shared" si="78"/>
        <v>3.9926970788269018E-4</v>
      </c>
      <c r="Q62" s="46">
        <v>50</v>
      </c>
      <c r="R62" s="49">
        <f t="shared" si="79"/>
        <v>3.2154075481719848E-4</v>
      </c>
      <c r="S62" s="46">
        <v>50</v>
      </c>
      <c r="T62" s="49">
        <f t="shared" si="80"/>
        <v>3.1918539774148882E-4</v>
      </c>
      <c r="U62" s="46">
        <v>50</v>
      </c>
      <c r="V62" s="49">
        <f t="shared" si="81"/>
        <v>4.0239885321781546E-4</v>
      </c>
      <c r="W62" s="46">
        <v>50</v>
      </c>
      <c r="X62" s="49">
        <f t="shared" si="82"/>
        <v>3.9550071588564511E-4</v>
      </c>
      <c r="Y62" s="46">
        <v>50</v>
      </c>
      <c r="Z62" s="49">
        <f t="shared" si="83"/>
        <v>2.618059683922725E-4</v>
      </c>
      <c r="AA62" s="405">
        <f t="shared" si="47"/>
        <v>600</v>
      </c>
      <c r="AB62" s="416">
        <f t="shared" si="41"/>
        <v>3.3716473815264549E-4</v>
      </c>
      <c r="AC62" s="407">
        <f t="shared" si="1"/>
        <v>50</v>
      </c>
      <c r="AD62" s="417">
        <f t="shared" si="42"/>
        <v>3.3716473815264549E-4</v>
      </c>
      <c r="AE62" s="214"/>
      <c r="AF62" s="54"/>
      <c r="AH62" s="21">
        <f t="shared" si="2"/>
        <v>254.5</v>
      </c>
    </row>
    <row r="63" spans="1:34" s="289" customFormat="1" ht="21.75" customHeight="1">
      <c r="A63" s="2">
        <v>6122</v>
      </c>
      <c r="B63" s="371" t="s">
        <v>20</v>
      </c>
      <c r="C63" s="418"/>
      <c r="D63" s="415">
        <f t="shared" si="72"/>
        <v>0</v>
      </c>
      <c r="E63" s="418"/>
      <c r="F63" s="415">
        <f t="shared" si="73"/>
        <v>0</v>
      </c>
      <c r="G63" s="363"/>
      <c r="H63" s="415">
        <f t="shared" si="74"/>
        <v>0</v>
      </c>
      <c r="I63" s="418"/>
      <c r="J63" s="415">
        <f t="shared" si="75"/>
        <v>0</v>
      </c>
      <c r="K63" s="418"/>
      <c r="L63" s="415">
        <f t="shared" si="76"/>
        <v>0</v>
      </c>
      <c r="M63" s="462"/>
      <c r="N63" s="415">
        <f t="shared" si="77"/>
        <v>0</v>
      </c>
      <c r="O63" s="462"/>
      <c r="P63" s="415">
        <f t="shared" si="78"/>
        <v>0</v>
      </c>
      <c r="Q63" s="462">
        <v>0</v>
      </c>
      <c r="R63" s="415">
        <f t="shared" si="79"/>
        <v>0</v>
      </c>
      <c r="S63" s="462">
        <v>0</v>
      </c>
      <c r="T63" s="415">
        <f t="shared" si="80"/>
        <v>0</v>
      </c>
      <c r="U63" s="462">
        <v>0</v>
      </c>
      <c r="V63" s="415">
        <f t="shared" si="81"/>
        <v>0</v>
      </c>
      <c r="W63" s="462">
        <v>0</v>
      </c>
      <c r="X63" s="415">
        <f t="shared" si="82"/>
        <v>0</v>
      </c>
      <c r="Y63" s="462">
        <v>0</v>
      </c>
      <c r="Z63" s="415">
        <f t="shared" si="83"/>
        <v>0</v>
      </c>
      <c r="AA63" s="405">
        <f t="shared" si="47"/>
        <v>0</v>
      </c>
      <c r="AB63" s="416">
        <f t="shared" si="41"/>
        <v>0</v>
      </c>
      <c r="AC63" s="407">
        <f t="shared" si="1"/>
        <v>0</v>
      </c>
      <c r="AD63" s="417">
        <f t="shared" si="42"/>
        <v>0</v>
      </c>
      <c r="AE63" s="214"/>
      <c r="AF63" s="54"/>
      <c r="AH63" s="21">
        <f t="shared" si="2"/>
        <v>0</v>
      </c>
    </row>
    <row r="64" spans="1:34" s="289" customFormat="1" ht="21.75" customHeight="1">
      <c r="A64" s="2">
        <v>6123</v>
      </c>
      <c r="B64" s="371" t="s">
        <v>21</v>
      </c>
      <c r="C64" s="418"/>
      <c r="D64" s="415">
        <f t="shared" si="72"/>
        <v>0</v>
      </c>
      <c r="E64" s="418"/>
      <c r="F64" s="415">
        <f t="shared" si="73"/>
        <v>0</v>
      </c>
      <c r="G64" s="363"/>
      <c r="H64" s="415">
        <f t="shared" si="74"/>
        <v>0</v>
      </c>
      <c r="I64" s="418"/>
      <c r="J64" s="415">
        <f t="shared" si="75"/>
        <v>0</v>
      </c>
      <c r="K64" s="418"/>
      <c r="L64" s="415">
        <f t="shared" si="76"/>
        <v>0</v>
      </c>
      <c r="M64" s="462"/>
      <c r="N64" s="415">
        <f t="shared" si="77"/>
        <v>0</v>
      </c>
      <c r="O64" s="462"/>
      <c r="P64" s="415">
        <f t="shared" si="78"/>
        <v>0</v>
      </c>
      <c r="Q64" s="462">
        <v>0</v>
      </c>
      <c r="R64" s="415">
        <f t="shared" si="79"/>
        <v>0</v>
      </c>
      <c r="S64" s="462">
        <v>0</v>
      </c>
      <c r="T64" s="415">
        <f t="shared" si="80"/>
        <v>0</v>
      </c>
      <c r="U64" s="462">
        <v>0</v>
      </c>
      <c r="V64" s="415">
        <f t="shared" si="81"/>
        <v>0</v>
      </c>
      <c r="W64" s="462">
        <v>0</v>
      </c>
      <c r="X64" s="415">
        <f t="shared" si="82"/>
        <v>0</v>
      </c>
      <c r="Y64" s="462">
        <v>0</v>
      </c>
      <c r="Z64" s="415">
        <f t="shared" si="83"/>
        <v>0</v>
      </c>
      <c r="AA64" s="405">
        <f t="shared" si="47"/>
        <v>0</v>
      </c>
      <c r="AB64" s="416">
        <f t="shared" si="41"/>
        <v>0</v>
      </c>
      <c r="AC64" s="407">
        <f t="shared" si="1"/>
        <v>0</v>
      </c>
      <c r="AD64" s="417">
        <f t="shared" si="42"/>
        <v>0</v>
      </c>
      <c r="AE64" s="214"/>
      <c r="AF64" s="54"/>
      <c r="AH64" s="21">
        <f t="shared" si="2"/>
        <v>0</v>
      </c>
    </row>
    <row r="65" spans="1:34" s="289" customFormat="1" ht="21.75" customHeight="1">
      <c r="A65" s="128">
        <v>6124</v>
      </c>
      <c r="B65" s="371" t="s">
        <v>22</v>
      </c>
      <c r="C65" s="46">
        <v>700</v>
      </c>
      <c r="D65" s="49">
        <f t="shared" si="72"/>
        <v>5.2300473692861735E-3</v>
      </c>
      <c r="E65" s="46">
        <v>700</v>
      </c>
      <c r="F65" s="49">
        <f t="shared" si="73"/>
        <v>6.7223953228241458E-3</v>
      </c>
      <c r="G65" s="46">
        <v>700</v>
      </c>
      <c r="H65" s="49">
        <f t="shared" si="74"/>
        <v>4.0526200402905563E-3</v>
      </c>
      <c r="I65" s="46">
        <v>700</v>
      </c>
      <c r="J65" s="49">
        <f t="shared" si="75"/>
        <v>4.5896334731465567E-3</v>
      </c>
      <c r="K65" s="46">
        <v>700</v>
      </c>
      <c r="L65" s="49">
        <f t="shared" si="76"/>
        <v>5.0181763445925308E-3</v>
      </c>
      <c r="M65" s="46">
        <v>700</v>
      </c>
      <c r="N65" s="49">
        <f t="shared" si="77"/>
        <v>3.5389459394083679E-3</v>
      </c>
      <c r="O65" s="46">
        <v>700</v>
      </c>
      <c r="P65" s="49">
        <f t="shared" si="78"/>
        <v>5.5897759103576625E-3</v>
      </c>
      <c r="Q65" s="46">
        <v>700</v>
      </c>
      <c r="R65" s="49">
        <f t="shared" si="79"/>
        <v>4.5015705674407791E-3</v>
      </c>
      <c r="S65" s="46">
        <v>700</v>
      </c>
      <c r="T65" s="49">
        <f t="shared" si="80"/>
        <v>4.4685955683808438E-3</v>
      </c>
      <c r="U65" s="46">
        <v>700</v>
      </c>
      <c r="V65" s="49">
        <f t="shared" si="81"/>
        <v>5.6335839450494165E-3</v>
      </c>
      <c r="W65" s="46">
        <v>700</v>
      </c>
      <c r="X65" s="49">
        <f t="shared" si="82"/>
        <v>5.5370100223990316E-3</v>
      </c>
      <c r="Y65" s="46">
        <v>700</v>
      </c>
      <c r="Z65" s="49">
        <f t="shared" si="83"/>
        <v>3.6652835574918149E-3</v>
      </c>
      <c r="AA65" s="405">
        <f t="shared" si="47"/>
        <v>8400</v>
      </c>
      <c r="AB65" s="416">
        <f t="shared" si="41"/>
        <v>4.7203063341370371E-3</v>
      </c>
      <c r="AC65" s="407">
        <f t="shared" si="1"/>
        <v>700</v>
      </c>
      <c r="AD65" s="417">
        <f t="shared" si="42"/>
        <v>4.7203063341370371E-3</v>
      </c>
      <c r="AE65" s="334">
        <f>127750*2%/12</f>
        <v>212.91666666666666</v>
      </c>
      <c r="AF65" s="54" t="s">
        <v>239</v>
      </c>
      <c r="AH65" s="21">
        <f t="shared" si="2"/>
        <v>3563</v>
      </c>
    </row>
    <row r="66" spans="1:34" s="289" customFormat="1" ht="21.75" customHeight="1">
      <c r="A66" s="128">
        <v>6125</v>
      </c>
      <c r="B66" s="371" t="s">
        <v>78</v>
      </c>
      <c r="C66" s="418">
        <v>81.86</v>
      </c>
      <c r="D66" s="415">
        <f t="shared" si="72"/>
        <v>6.116166823568088E-4</v>
      </c>
      <c r="E66" s="418">
        <v>81.86</v>
      </c>
      <c r="F66" s="415">
        <f t="shared" si="73"/>
        <v>7.8613611589483517E-4</v>
      </c>
      <c r="G66" s="418">
        <v>81.86</v>
      </c>
      <c r="H66" s="415">
        <f t="shared" si="74"/>
        <v>4.7392496642597849E-4</v>
      </c>
      <c r="I66" s="418">
        <v>81.86</v>
      </c>
      <c r="J66" s="415">
        <f t="shared" si="75"/>
        <v>5.3672485158825307E-4</v>
      </c>
      <c r="K66" s="418">
        <v>81.86</v>
      </c>
      <c r="L66" s="415">
        <f t="shared" si="76"/>
        <v>5.8683987938334937E-4</v>
      </c>
      <c r="M66" s="418">
        <v>81.86</v>
      </c>
      <c r="N66" s="415">
        <f t="shared" si="77"/>
        <v>4.1385444942852712E-4</v>
      </c>
      <c r="O66" s="418">
        <v>81.86</v>
      </c>
      <c r="P66" s="415">
        <f t="shared" si="78"/>
        <v>6.5368436574554038E-4</v>
      </c>
      <c r="Q66" s="418">
        <v>81.86</v>
      </c>
      <c r="R66" s="415">
        <f t="shared" si="79"/>
        <v>5.2642652378671743E-4</v>
      </c>
      <c r="S66" s="418">
        <v>81.86</v>
      </c>
      <c r="T66" s="415">
        <f t="shared" si="80"/>
        <v>5.2257033318236547E-4</v>
      </c>
      <c r="U66" s="418">
        <v>81.86</v>
      </c>
      <c r="V66" s="415">
        <f t="shared" si="81"/>
        <v>6.5880740248820745E-4</v>
      </c>
      <c r="W66" s="418">
        <v>81.86</v>
      </c>
      <c r="X66" s="415">
        <f t="shared" si="82"/>
        <v>6.4751377204797813E-4</v>
      </c>
      <c r="Y66" s="418">
        <v>81.86</v>
      </c>
      <c r="Z66" s="415">
        <f t="shared" si="83"/>
        <v>4.2862873145182854E-4</v>
      </c>
      <c r="AA66" s="405">
        <f t="shared" si="47"/>
        <v>982.32</v>
      </c>
      <c r="AB66" s="416">
        <f t="shared" si="41"/>
        <v>5.5200610930351119E-4</v>
      </c>
      <c r="AC66" s="407">
        <f t="shared" si="1"/>
        <v>81.86</v>
      </c>
      <c r="AD66" s="417">
        <f t="shared" si="42"/>
        <v>5.5200610930351119E-4</v>
      </c>
      <c r="AE66" s="214"/>
      <c r="AF66" s="54"/>
      <c r="AH66" s="21">
        <f t="shared" si="2"/>
        <v>416.66739999999999</v>
      </c>
    </row>
    <row r="67" spans="1:34" s="289" customFormat="1" ht="21.75" customHeight="1">
      <c r="A67" s="2">
        <v>6126</v>
      </c>
      <c r="B67" s="371" t="s">
        <v>113</v>
      </c>
      <c r="C67" s="418"/>
      <c r="D67" s="415"/>
      <c r="E67" s="418"/>
      <c r="F67" s="415"/>
      <c r="G67" s="418"/>
      <c r="H67" s="415"/>
      <c r="I67" s="418"/>
      <c r="J67" s="415"/>
      <c r="K67" s="418"/>
      <c r="L67" s="415"/>
      <c r="M67" s="418"/>
      <c r="N67" s="415">
        <f t="shared" si="77"/>
        <v>0</v>
      </c>
      <c r="O67" s="418"/>
      <c r="P67" s="415">
        <f t="shared" si="78"/>
        <v>0</v>
      </c>
      <c r="Q67" s="418"/>
      <c r="R67" s="415"/>
      <c r="S67" s="418"/>
      <c r="T67" s="415"/>
      <c r="U67" s="418"/>
      <c r="V67" s="415"/>
      <c r="W67" s="418"/>
      <c r="X67" s="415"/>
      <c r="Y67" s="418"/>
      <c r="Z67" s="415"/>
      <c r="AA67" s="405">
        <f t="shared" si="47"/>
        <v>0</v>
      </c>
      <c r="AB67" s="416">
        <f t="shared" si="41"/>
        <v>0</v>
      </c>
      <c r="AC67" s="407">
        <f t="shared" si="1"/>
        <v>0</v>
      </c>
      <c r="AD67" s="417">
        <f t="shared" si="42"/>
        <v>0</v>
      </c>
      <c r="AE67" s="214"/>
      <c r="AF67" s="54"/>
      <c r="AH67" s="21">
        <f t="shared" si="2"/>
        <v>0</v>
      </c>
    </row>
    <row r="68" spans="1:34" s="289" customFormat="1" ht="21.75" customHeight="1">
      <c r="A68" s="128">
        <v>6127</v>
      </c>
      <c r="B68" s="371" t="s">
        <v>76</v>
      </c>
      <c r="C68" s="46">
        <v>197</v>
      </c>
      <c r="D68" s="49">
        <f>C68/C$12</f>
        <v>1.471884759641966E-3</v>
      </c>
      <c r="E68" s="46">
        <v>197</v>
      </c>
      <c r="F68" s="49">
        <f>E68/E$12</f>
        <v>1.8918741122805097E-3</v>
      </c>
      <c r="G68" s="46">
        <v>197</v>
      </c>
      <c r="H68" s="49">
        <f>G68/G$12</f>
        <v>1.1405230684817709E-3</v>
      </c>
      <c r="I68" s="46">
        <v>197</v>
      </c>
      <c r="J68" s="49">
        <f>I68/I$12</f>
        <v>1.2916539917283882E-3</v>
      </c>
      <c r="K68" s="46">
        <v>197</v>
      </c>
      <c r="L68" s="49">
        <f>K68/K$12</f>
        <v>1.4122581998353267E-3</v>
      </c>
      <c r="M68" s="46">
        <v>197</v>
      </c>
      <c r="N68" s="49">
        <f>M68/M$12</f>
        <v>9.9596050009064072E-4</v>
      </c>
      <c r="O68" s="46">
        <v>197</v>
      </c>
      <c r="P68" s="49">
        <f>O68/O$12</f>
        <v>1.5731226490577994E-3</v>
      </c>
      <c r="Q68" s="46">
        <v>197</v>
      </c>
      <c r="R68" s="49">
        <f>Q68/Q$12</f>
        <v>1.2668705739797622E-3</v>
      </c>
      <c r="S68" s="46">
        <v>197</v>
      </c>
      <c r="T68" s="49">
        <f>S68/S$12</f>
        <v>1.2575904671014661E-3</v>
      </c>
      <c r="U68" s="46">
        <v>197</v>
      </c>
      <c r="V68" s="49">
        <f>U68/U$12</f>
        <v>1.5854514816781929E-3</v>
      </c>
      <c r="W68" s="46">
        <v>197</v>
      </c>
      <c r="X68" s="49">
        <f>W68/W$12</f>
        <v>1.5582728205894418E-3</v>
      </c>
      <c r="Y68" s="46">
        <v>197</v>
      </c>
      <c r="Z68" s="49">
        <f>Y68/Y$12</f>
        <v>1.0315155154655537E-3</v>
      </c>
      <c r="AA68" s="405">
        <f t="shared" si="47"/>
        <v>2364</v>
      </c>
      <c r="AB68" s="416">
        <f t="shared" si="41"/>
        <v>1.3284290683214233E-3</v>
      </c>
      <c r="AC68" s="407">
        <f t="shared" si="1"/>
        <v>197</v>
      </c>
      <c r="AD68" s="417">
        <f t="shared" si="42"/>
        <v>1.3284290683214233E-3</v>
      </c>
      <c r="AE68" s="214"/>
      <c r="AF68" s="54"/>
      <c r="AH68" s="21">
        <f t="shared" si="2"/>
        <v>1002.73</v>
      </c>
    </row>
    <row r="69" spans="1:34" s="289" customFormat="1" ht="21.75" customHeight="1">
      <c r="A69" s="2">
        <v>6129</v>
      </c>
      <c r="B69" s="371" t="s">
        <v>206</v>
      </c>
      <c r="C69" s="467"/>
      <c r="D69" s="416">
        <f t="shared" ref="D69:R75" si="84">C69/C$12</f>
        <v>0</v>
      </c>
      <c r="E69" s="467"/>
      <c r="F69" s="416">
        <f t="shared" ref="F69" si="85">E69/E$12</f>
        <v>0</v>
      </c>
      <c r="G69" s="467"/>
      <c r="H69" s="416">
        <f t="shared" ref="H69" si="86">G69/G$12</f>
        <v>0</v>
      </c>
      <c r="I69" s="467"/>
      <c r="J69" s="416">
        <f t="shared" ref="J69" si="87">I69/I$12</f>
        <v>0</v>
      </c>
      <c r="K69" s="467"/>
      <c r="L69" s="416">
        <f t="shared" ref="L69" si="88">K69/K$12</f>
        <v>0</v>
      </c>
      <c r="M69" s="467"/>
      <c r="N69" s="415">
        <f t="shared" si="77"/>
        <v>0</v>
      </c>
      <c r="O69" s="467"/>
      <c r="P69" s="415">
        <f t="shared" si="78"/>
        <v>0</v>
      </c>
      <c r="Q69" s="467"/>
      <c r="R69" s="416">
        <f t="shared" ref="R69" si="89">Q69/Q$12</f>
        <v>0</v>
      </c>
      <c r="S69" s="467"/>
      <c r="T69" s="416">
        <f t="shared" ref="T69:Z73" si="90">S69/S$12</f>
        <v>0</v>
      </c>
      <c r="U69" s="467"/>
      <c r="V69" s="416">
        <f t="shared" ref="V69" si="91">U69/U$12</f>
        <v>0</v>
      </c>
      <c r="W69" s="467"/>
      <c r="X69" s="468">
        <f t="shared" ref="X69" si="92">W69/W$12</f>
        <v>0</v>
      </c>
      <c r="Y69" s="467"/>
      <c r="Z69" s="415">
        <f t="shared" ref="Z69" si="93">Y69/Y$12</f>
        <v>0</v>
      </c>
      <c r="AA69" s="405">
        <f t="shared" si="47"/>
        <v>0</v>
      </c>
      <c r="AB69" s="416">
        <f t="shared" si="41"/>
        <v>0</v>
      </c>
      <c r="AC69" s="407">
        <f t="shared" si="1"/>
        <v>0</v>
      </c>
      <c r="AD69" s="417">
        <f t="shared" si="42"/>
        <v>0</v>
      </c>
      <c r="AE69" s="214"/>
      <c r="AF69" s="54"/>
      <c r="AH69" s="21">
        <f t="shared" si="2"/>
        <v>0</v>
      </c>
    </row>
    <row r="70" spans="1:34" s="289" customFormat="1" ht="21.75" customHeight="1">
      <c r="A70" s="2">
        <v>6131</v>
      </c>
      <c r="B70" s="371" t="s">
        <v>224</v>
      </c>
      <c r="C70" s="469">
        <v>131</v>
      </c>
      <c r="D70" s="416">
        <f t="shared" si="84"/>
        <v>9.7876600768069815E-4</v>
      </c>
      <c r="E70" s="469">
        <v>131</v>
      </c>
      <c r="F70" s="416">
        <f t="shared" si="84"/>
        <v>1.2580482675570901E-3</v>
      </c>
      <c r="G70" s="469">
        <v>131</v>
      </c>
      <c r="H70" s="416">
        <f t="shared" si="84"/>
        <v>7.5841889325437559E-4</v>
      </c>
      <c r="I70" s="469">
        <v>131</v>
      </c>
      <c r="J70" s="416">
        <f t="shared" si="84"/>
        <v>8.5891712140314139E-4</v>
      </c>
      <c r="K70" s="469">
        <v>131</v>
      </c>
      <c r="L70" s="416">
        <f t="shared" si="84"/>
        <v>9.3911585877374506E-4</v>
      </c>
      <c r="M70" s="469">
        <v>131</v>
      </c>
      <c r="N70" s="416">
        <f t="shared" si="84"/>
        <v>6.6228845437499458E-4</v>
      </c>
      <c r="O70" s="469">
        <v>131</v>
      </c>
      <c r="P70" s="416">
        <f t="shared" si="84"/>
        <v>1.0460866346526483E-3</v>
      </c>
      <c r="Q70" s="469">
        <v>131</v>
      </c>
      <c r="R70" s="416">
        <f t="shared" si="84"/>
        <v>8.4243677762106011E-4</v>
      </c>
      <c r="S70" s="469">
        <v>131</v>
      </c>
      <c r="T70" s="416">
        <f t="shared" si="90"/>
        <v>8.3626574208270073E-4</v>
      </c>
      <c r="U70" s="469">
        <v>131</v>
      </c>
      <c r="V70" s="416">
        <f t="shared" si="90"/>
        <v>1.0542849954306764E-3</v>
      </c>
      <c r="W70" s="469">
        <v>131</v>
      </c>
      <c r="X70" s="416">
        <f t="shared" si="90"/>
        <v>1.0362118756203902E-3</v>
      </c>
      <c r="Y70" s="469">
        <v>131</v>
      </c>
      <c r="Z70" s="416">
        <f t="shared" si="90"/>
        <v>6.8593163718775392E-4</v>
      </c>
      <c r="AA70" s="405">
        <f t="shared" si="47"/>
        <v>1572</v>
      </c>
      <c r="AB70" s="416">
        <f t="shared" si="41"/>
        <v>8.8337161395993116E-4</v>
      </c>
      <c r="AC70" s="407">
        <f t="shared" ref="AC70:AC143" si="94">AA70/12</f>
        <v>131</v>
      </c>
      <c r="AD70" s="416">
        <f t="shared" si="41"/>
        <v>8.8337161395993127E-4</v>
      </c>
      <c r="AE70" s="214"/>
      <c r="AF70" s="54"/>
      <c r="AH70" s="21"/>
    </row>
    <row r="71" spans="1:34" s="289" customFormat="1" ht="21.75" customHeight="1">
      <c r="A71" s="2">
        <v>6132</v>
      </c>
      <c r="B71" s="371" t="s">
        <v>225</v>
      </c>
      <c r="C71" s="469">
        <v>9</v>
      </c>
      <c r="D71" s="416">
        <f t="shared" si="84"/>
        <v>6.7243466176536507E-5</v>
      </c>
      <c r="E71" s="469">
        <v>9</v>
      </c>
      <c r="F71" s="416">
        <f t="shared" si="84"/>
        <v>8.6430797007739019E-5</v>
      </c>
      <c r="G71" s="469">
        <v>9</v>
      </c>
      <c r="H71" s="416">
        <f t="shared" si="84"/>
        <v>5.2105114803735728E-5</v>
      </c>
      <c r="I71" s="469">
        <v>9</v>
      </c>
      <c r="J71" s="416">
        <f t="shared" si="84"/>
        <v>5.9009573226170019E-5</v>
      </c>
      <c r="K71" s="469">
        <v>9</v>
      </c>
      <c r="L71" s="416">
        <f t="shared" si="84"/>
        <v>6.4519410144761114E-5</v>
      </c>
      <c r="M71" s="469">
        <v>9</v>
      </c>
      <c r="N71" s="416">
        <f t="shared" si="84"/>
        <v>4.5500733506679015E-5</v>
      </c>
      <c r="O71" s="469">
        <v>9</v>
      </c>
      <c r="P71" s="416">
        <f t="shared" si="84"/>
        <v>7.186854741888424E-5</v>
      </c>
      <c r="Q71" s="469">
        <v>9</v>
      </c>
      <c r="R71" s="416">
        <f t="shared" si="84"/>
        <v>5.7877335867095734E-5</v>
      </c>
      <c r="S71" s="469">
        <v>9</v>
      </c>
      <c r="T71" s="416">
        <f t="shared" si="90"/>
        <v>5.7453371593467992E-5</v>
      </c>
      <c r="U71" s="469">
        <v>9</v>
      </c>
      <c r="V71" s="416">
        <f t="shared" si="90"/>
        <v>7.2431793579206782E-5</v>
      </c>
      <c r="W71" s="469">
        <v>9</v>
      </c>
      <c r="X71" s="416">
        <f t="shared" si="90"/>
        <v>7.1190128859416113E-5</v>
      </c>
      <c r="Y71" s="469">
        <v>9</v>
      </c>
      <c r="Z71" s="416">
        <f t="shared" si="90"/>
        <v>4.7125074310609051E-5</v>
      </c>
      <c r="AA71" s="405">
        <f t="shared" si="47"/>
        <v>108</v>
      </c>
      <c r="AB71" s="416">
        <f t="shared" si="41"/>
        <v>6.0689652867476187E-5</v>
      </c>
      <c r="AC71" s="407">
        <f t="shared" si="94"/>
        <v>9</v>
      </c>
      <c r="AD71" s="416">
        <f t="shared" si="41"/>
        <v>6.0689652867476194E-5</v>
      </c>
      <c r="AE71" s="214"/>
      <c r="AF71" s="54"/>
      <c r="AH71" s="21"/>
    </row>
    <row r="72" spans="1:34" s="289" customFormat="1" ht="21.75" customHeight="1">
      <c r="A72" s="2">
        <v>6133</v>
      </c>
      <c r="B72" s="371" t="s">
        <v>226</v>
      </c>
      <c r="C72" s="331">
        <v>25</v>
      </c>
      <c r="D72" s="108">
        <f t="shared" si="84"/>
        <v>1.8678740604593475E-4</v>
      </c>
      <c r="E72" s="331">
        <v>25</v>
      </c>
      <c r="F72" s="108">
        <f t="shared" si="84"/>
        <v>2.4008554724371951E-4</v>
      </c>
      <c r="G72" s="331">
        <v>25</v>
      </c>
      <c r="H72" s="108">
        <f t="shared" si="84"/>
        <v>1.4473643001037702E-4</v>
      </c>
      <c r="I72" s="331">
        <v>25</v>
      </c>
      <c r="J72" s="108">
        <f t="shared" si="84"/>
        <v>1.639154811838056E-4</v>
      </c>
      <c r="K72" s="331">
        <v>25</v>
      </c>
      <c r="L72" s="108">
        <f t="shared" si="84"/>
        <v>1.7922058373544755E-4</v>
      </c>
      <c r="M72" s="331">
        <v>25</v>
      </c>
      <c r="N72" s="108">
        <f t="shared" si="84"/>
        <v>1.2639092640744171E-4</v>
      </c>
      <c r="O72" s="331">
        <v>25</v>
      </c>
      <c r="P72" s="108">
        <f t="shared" si="84"/>
        <v>1.9963485394134509E-4</v>
      </c>
      <c r="Q72" s="331">
        <v>25</v>
      </c>
      <c r="R72" s="108">
        <f t="shared" si="84"/>
        <v>1.6077037740859924E-4</v>
      </c>
      <c r="S72" s="331">
        <v>25</v>
      </c>
      <c r="T72" s="108">
        <f t="shared" si="90"/>
        <v>1.5959269887074441E-4</v>
      </c>
      <c r="U72" s="331">
        <v>25</v>
      </c>
      <c r="V72" s="108">
        <f t="shared" si="90"/>
        <v>2.0119942660890773E-4</v>
      </c>
      <c r="W72" s="331">
        <v>25</v>
      </c>
      <c r="X72" s="108">
        <f t="shared" si="90"/>
        <v>1.9775035794282255E-4</v>
      </c>
      <c r="Y72" s="331">
        <v>25</v>
      </c>
      <c r="Z72" s="108">
        <f t="shared" si="90"/>
        <v>1.3090298419613625E-4</v>
      </c>
      <c r="AA72" s="405">
        <f t="shared" si="47"/>
        <v>300</v>
      </c>
      <c r="AB72" s="416">
        <f t="shared" si="41"/>
        <v>1.6858236907632275E-4</v>
      </c>
      <c r="AC72" s="407">
        <f t="shared" si="94"/>
        <v>25</v>
      </c>
      <c r="AD72" s="416">
        <f t="shared" si="41"/>
        <v>1.6858236907632275E-4</v>
      </c>
      <c r="AE72" s="214"/>
      <c r="AF72" s="54"/>
      <c r="AH72" s="21"/>
    </row>
    <row r="73" spans="1:34" s="289" customFormat="1" ht="21.75" customHeight="1">
      <c r="A73" s="2">
        <v>6134</v>
      </c>
      <c r="B73" s="371" t="s">
        <v>227</v>
      </c>
      <c r="C73" s="469">
        <v>22.92</v>
      </c>
      <c r="D73" s="416">
        <f t="shared" si="84"/>
        <v>1.7124669386291299E-4</v>
      </c>
      <c r="E73" s="469">
        <v>22.92</v>
      </c>
      <c r="F73" s="416">
        <f t="shared" si="84"/>
        <v>2.2011042971304206E-4</v>
      </c>
      <c r="G73" s="469">
        <v>22.92</v>
      </c>
      <c r="H73" s="416">
        <f t="shared" si="84"/>
        <v>1.3269435903351365E-4</v>
      </c>
      <c r="I73" s="469">
        <v>22.92</v>
      </c>
      <c r="J73" s="416">
        <f t="shared" si="84"/>
        <v>1.50277713149313E-4</v>
      </c>
      <c r="K73" s="469">
        <v>22.92</v>
      </c>
      <c r="L73" s="416">
        <f t="shared" si="84"/>
        <v>1.6430943116865833E-4</v>
      </c>
      <c r="M73" s="469">
        <v>22.92</v>
      </c>
      <c r="N73" s="416">
        <f t="shared" si="84"/>
        <v>1.1587520133034257E-4</v>
      </c>
      <c r="O73" s="469">
        <v>22.92</v>
      </c>
      <c r="P73" s="416">
        <f t="shared" si="84"/>
        <v>1.8302523409342519E-4</v>
      </c>
      <c r="Q73" s="469">
        <v>22.92</v>
      </c>
      <c r="R73" s="416">
        <f t="shared" si="84"/>
        <v>1.4739428200820381E-4</v>
      </c>
      <c r="S73" s="469">
        <v>22.92</v>
      </c>
      <c r="T73" s="416">
        <f t="shared" si="90"/>
        <v>1.4631458632469849E-4</v>
      </c>
      <c r="U73" s="469">
        <v>22.92</v>
      </c>
      <c r="V73" s="416">
        <f t="shared" si="90"/>
        <v>1.8445963431504663E-4</v>
      </c>
      <c r="W73" s="469">
        <v>22.92</v>
      </c>
      <c r="X73" s="416">
        <f t="shared" si="90"/>
        <v>1.8129752816197972E-4</v>
      </c>
      <c r="Y73" s="469">
        <v>22.92</v>
      </c>
      <c r="Z73" s="416">
        <f t="shared" si="90"/>
        <v>1.2001185591101772E-4</v>
      </c>
      <c r="AA73" s="405">
        <f t="shared" si="47"/>
        <v>275.04000000000008</v>
      </c>
      <c r="AB73" s="416">
        <f t="shared" si="41"/>
        <v>1.5455631596917273E-4</v>
      </c>
      <c r="AC73" s="407">
        <f t="shared" si="94"/>
        <v>22.920000000000005</v>
      </c>
      <c r="AD73" s="416">
        <f t="shared" si="41"/>
        <v>1.5455631596917273E-4</v>
      </c>
      <c r="AE73" s="214"/>
      <c r="AF73" s="54"/>
      <c r="AH73" s="21"/>
    </row>
    <row r="74" spans="1:34" s="289" customFormat="1" ht="21.75" customHeight="1">
      <c r="A74" s="2">
        <v>6135</v>
      </c>
      <c r="B74" s="371" t="s">
        <v>228</v>
      </c>
      <c r="C74" s="469"/>
      <c r="D74" s="416">
        <f t="shared" si="84"/>
        <v>0</v>
      </c>
      <c r="E74" s="469"/>
      <c r="F74" s="416"/>
      <c r="G74" s="469"/>
      <c r="H74" s="416"/>
      <c r="I74" s="469"/>
      <c r="J74" s="416"/>
      <c r="K74" s="469"/>
      <c r="L74" s="416"/>
      <c r="M74" s="469"/>
      <c r="N74" s="416"/>
      <c r="O74" s="469"/>
      <c r="P74" s="416"/>
      <c r="Q74" s="469"/>
      <c r="R74" s="416"/>
      <c r="S74" s="469"/>
      <c r="T74" s="416"/>
      <c r="U74" s="469"/>
      <c r="V74" s="416"/>
      <c r="W74" s="469"/>
      <c r="X74" s="416"/>
      <c r="Y74" s="469"/>
      <c r="Z74" s="416"/>
      <c r="AA74" s="405">
        <f t="shared" si="47"/>
        <v>0</v>
      </c>
      <c r="AB74" s="416"/>
      <c r="AC74" s="407"/>
      <c r="AD74" s="416"/>
      <c r="AE74" s="214"/>
      <c r="AF74" s="54"/>
      <c r="AH74" s="21"/>
    </row>
    <row r="75" spans="1:34" s="289" customFormat="1" ht="21.75" customHeight="1">
      <c r="A75" s="2">
        <v>6136</v>
      </c>
      <c r="B75" s="371" t="s">
        <v>249</v>
      </c>
      <c r="C75" s="331">
        <f>354/12</f>
        <v>29.5</v>
      </c>
      <c r="D75" s="108">
        <f t="shared" si="84"/>
        <v>2.2040913913420302E-4</v>
      </c>
      <c r="E75" s="331">
        <f>354/12</f>
        <v>29.5</v>
      </c>
      <c r="F75" s="108">
        <f t="shared" si="84"/>
        <v>2.8330094574758902E-4</v>
      </c>
      <c r="G75" s="331">
        <f>354/12</f>
        <v>29.5</v>
      </c>
      <c r="H75" s="108">
        <f t="shared" si="84"/>
        <v>1.7078898741224488E-4</v>
      </c>
      <c r="I75" s="331">
        <f>354/12</f>
        <v>29.5</v>
      </c>
      <c r="J75" s="108">
        <f t="shared" si="84"/>
        <v>1.9342026779689062E-4</v>
      </c>
      <c r="K75" s="331">
        <f>354/12</f>
        <v>29.5</v>
      </c>
      <c r="L75" s="108">
        <f t="shared" si="84"/>
        <v>2.114802888078281E-4</v>
      </c>
      <c r="M75" s="331">
        <f>354/12</f>
        <v>29.5</v>
      </c>
      <c r="N75" s="108">
        <f t="shared" si="84"/>
        <v>1.4914129316078123E-4</v>
      </c>
      <c r="O75" s="331">
        <f>354/12</f>
        <v>29.5</v>
      </c>
      <c r="P75" s="108">
        <f t="shared" si="84"/>
        <v>2.3556912765078722E-4</v>
      </c>
      <c r="Q75" s="331">
        <f>354/12</f>
        <v>29.5</v>
      </c>
      <c r="R75" s="108">
        <f t="shared" si="84"/>
        <v>1.8970904534214712E-4</v>
      </c>
      <c r="S75" s="331">
        <f>354/12</f>
        <v>29.5</v>
      </c>
      <c r="T75" s="108">
        <f t="shared" ref="T75:Z75" si="95">S75/S$12</f>
        <v>1.8831938466747842E-4</v>
      </c>
      <c r="U75" s="331">
        <f>354/12</f>
        <v>29.5</v>
      </c>
      <c r="V75" s="108">
        <f t="shared" si="95"/>
        <v>2.3741532339851111E-4</v>
      </c>
      <c r="W75" s="331">
        <f>354/12</f>
        <v>29.5</v>
      </c>
      <c r="X75" s="108">
        <f t="shared" si="95"/>
        <v>2.333454223725306E-4</v>
      </c>
      <c r="Y75" s="331">
        <f>354/12</f>
        <v>29.5</v>
      </c>
      <c r="Z75" s="108">
        <f t="shared" si="95"/>
        <v>1.5446552135144076E-4</v>
      </c>
      <c r="AA75" s="405">
        <f t="shared" si="47"/>
        <v>354</v>
      </c>
      <c r="AB75" s="416">
        <f t="shared" si="41"/>
        <v>1.9892719551006083E-4</v>
      </c>
      <c r="AC75" s="407">
        <f t="shared" si="94"/>
        <v>29.5</v>
      </c>
      <c r="AD75" s="416">
        <f t="shared" si="41"/>
        <v>1.9892719551006086E-4</v>
      </c>
      <c r="AE75" s="214"/>
      <c r="AF75" s="54"/>
      <c r="AH75" s="21"/>
    </row>
    <row r="76" spans="1:34" s="289" customFormat="1" ht="21.75" customHeight="1" thickBot="1">
      <c r="A76" s="4">
        <v>6199</v>
      </c>
      <c r="B76" s="376" t="s">
        <v>23</v>
      </c>
      <c r="C76" s="442">
        <f>SUM(C42:C75)</f>
        <v>13534.592000000001</v>
      </c>
      <c r="D76" s="421">
        <f>C76/C12</f>
        <v>0.10112365326280241</v>
      </c>
      <c r="E76" s="442">
        <f>SUM(E42:E75)</f>
        <v>13534.592000000001</v>
      </c>
      <c r="F76" s="421">
        <f>E76/E12</f>
        <v>0.12997839708161874</v>
      </c>
      <c r="G76" s="442">
        <f>SUM(G42:G75)</f>
        <v>13534.592000000001</v>
      </c>
      <c r="H76" s="421">
        <f>G76/G12</f>
        <v>7.8357941109080356E-2</v>
      </c>
      <c r="I76" s="442">
        <f>SUM(I42:I75)</f>
        <v>13534.592000000001</v>
      </c>
      <c r="J76" s="421">
        <f>I76/I12</f>
        <v>8.8741166412259445E-2</v>
      </c>
      <c r="K76" s="442">
        <f>SUM(K42:K75)</f>
        <v>13534.592000000001</v>
      </c>
      <c r="L76" s="421">
        <f>K76/K12</f>
        <v>9.702709915444474E-2</v>
      </c>
      <c r="M76" s="442">
        <f>SUM(M42:M75)</f>
        <v>16034.592000000001</v>
      </c>
      <c r="N76" s="421">
        <f>M76/M12</f>
        <v>8.106507749781415E-2</v>
      </c>
      <c r="O76" s="442">
        <f>SUM(O42:O75)</f>
        <v>16034.592000000001</v>
      </c>
      <c r="P76" s="421">
        <f>O76/O12</f>
        <v>0.12804253727716244</v>
      </c>
      <c r="Q76" s="442">
        <f>SUM(Q42:Q75)</f>
        <v>16034.592000000001</v>
      </c>
      <c r="R76" s="421">
        <f>Q76/Q12</f>
        <v>0.10311549629731626</v>
      </c>
      <c r="S76" s="442">
        <f>SUM(S42:S75)</f>
        <v>16034.592000000001</v>
      </c>
      <c r="T76" s="421">
        <f t="shared" ref="T76:Z90" si="96">S76/S$12</f>
        <v>0.1023601525028499</v>
      </c>
      <c r="U76" s="442">
        <f>SUM(U42:U75)</f>
        <v>16034.592000000001</v>
      </c>
      <c r="V76" s="421">
        <f>U76/U12</f>
        <v>0.12904602865231116</v>
      </c>
      <c r="W76" s="442">
        <f>SUM(W42:W75)</f>
        <v>16034.592000000001</v>
      </c>
      <c r="X76" s="421">
        <f>W76/W12</f>
        <v>0.12683385229868477</v>
      </c>
      <c r="Y76" s="442">
        <f>SUM(Y42:Y75)</f>
        <v>16034.592000000001</v>
      </c>
      <c r="Z76" s="421">
        <f t="shared" si="96"/>
        <v>8.3959037726699715E-2</v>
      </c>
      <c r="AA76" s="442">
        <f>SUM(AA42:AA75)</f>
        <v>179915.10400000002</v>
      </c>
      <c r="AB76" s="423">
        <f t="shared" si="41"/>
        <v>0.10110171488310998</v>
      </c>
      <c r="AC76" s="442">
        <f t="shared" si="94"/>
        <v>14992.925333333334</v>
      </c>
      <c r="AD76" s="425">
        <f t="shared" si="42"/>
        <v>0.10110171488310998</v>
      </c>
      <c r="AE76" s="218"/>
      <c r="AF76" s="219"/>
      <c r="AG76" s="209"/>
      <c r="AH76" s="21">
        <f t="shared" ref="AH76:AH148" si="97">Q76*5.09</f>
        <v>81616.073279999997</v>
      </c>
    </row>
    <row r="77" spans="1:34" s="289" customFormat="1" ht="21.75" customHeight="1" thickTop="1">
      <c r="A77" s="2">
        <v>6201</v>
      </c>
      <c r="B77" s="371" t="s">
        <v>24</v>
      </c>
      <c r="C77" s="412">
        <v>4860</v>
      </c>
      <c r="D77" s="415">
        <f t="shared" ref="D77:D92" si="98">C77/C$12</f>
        <v>3.6311471735329719E-2</v>
      </c>
      <c r="E77" s="412">
        <v>4860</v>
      </c>
      <c r="F77" s="415">
        <f t="shared" ref="F77:F92" si="99">E77/E$12</f>
        <v>4.667263038417907E-2</v>
      </c>
      <c r="G77" s="412">
        <v>4860</v>
      </c>
      <c r="H77" s="415">
        <f t="shared" ref="H77:H92" si="100">G77/G$12</f>
        <v>2.8136761994017292E-2</v>
      </c>
      <c r="I77" s="412">
        <v>4860</v>
      </c>
      <c r="J77" s="415">
        <f t="shared" ref="J77:J92" si="101">I77/I$12</f>
        <v>3.186516954213181E-2</v>
      </c>
      <c r="K77" s="412">
        <v>4860</v>
      </c>
      <c r="L77" s="415">
        <f t="shared" ref="L77:L92" si="102">K77/K$12</f>
        <v>3.4840481478171002E-2</v>
      </c>
      <c r="M77" s="412">
        <v>4860</v>
      </c>
      <c r="N77" s="415">
        <f t="shared" ref="N77:N92" si="103">M77/M$12</f>
        <v>2.4570396093606669E-2</v>
      </c>
      <c r="O77" s="412">
        <v>4860</v>
      </c>
      <c r="P77" s="415">
        <f t="shared" ref="P77:P92" si="104">O77/O$12</f>
        <v>3.880901560619749E-2</v>
      </c>
      <c r="Q77" s="412">
        <v>4860</v>
      </c>
      <c r="R77" s="415">
        <f t="shared" ref="R77:R92" si="105">Q77/Q$12</f>
        <v>3.1253761368231693E-2</v>
      </c>
      <c r="S77" s="412">
        <v>4860</v>
      </c>
      <c r="T77" s="415">
        <f t="shared" si="96"/>
        <v>3.1024820660472716E-2</v>
      </c>
      <c r="U77" s="412">
        <v>4860</v>
      </c>
      <c r="V77" s="415">
        <f t="shared" ref="V77:V92" si="106">U77/U$12</f>
        <v>3.9113168532771664E-2</v>
      </c>
      <c r="W77" s="412">
        <v>4860</v>
      </c>
      <c r="X77" s="415">
        <f t="shared" ref="X77:X92" si="107">W77/W$12</f>
        <v>3.8442669584084703E-2</v>
      </c>
      <c r="Y77" s="412">
        <v>4860</v>
      </c>
      <c r="Z77" s="415">
        <f t="shared" si="96"/>
        <v>2.5447540127728888E-2</v>
      </c>
      <c r="AA77" s="405">
        <f t="shared" ref="AA77:AA92" si="108">C77+E77+G77+I77+K77+M77+O77+Q77+S77+U77+W77+Y77</f>
        <v>58320</v>
      </c>
      <c r="AB77" s="416">
        <f t="shared" si="41"/>
        <v>3.2772412548437144E-2</v>
      </c>
      <c r="AC77" s="407">
        <f t="shared" si="94"/>
        <v>4860</v>
      </c>
      <c r="AD77" s="417">
        <f t="shared" si="42"/>
        <v>3.2772412548437144E-2</v>
      </c>
      <c r="AE77" s="214"/>
      <c r="AF77" s="54"/>
      <c r="AH77" s="21">
        <f t="shared" si="97"/>
        <v>24737.399999999998</v>
      </c>
    </row>
    <row r="78" spans="1:34" s="289" customFormat="1" ht="21.75" customHeight="1">
      <c r="A78" s="2">
        <v>6202</v>
      </c>
      <c r="B78" s="371" t="s">
        <v>25</v>
      </c>
      <c r="C78" s="412"/>
      <c r="D78" s="415">
        <f t="shared" si="98"/>
        <v>0</v>
      </c>
      <c r="E78" s="412"/>
      <c r="F78" s="415">
        <f t="shared" si="99"/>
        <v>0</v>
      </c>
      <c r="G78" s="412"/>
      <c r="H78" s="415">
        <f t="shared" si="100"/>
        <v>0</v>
      </c>
      <c r="I78" s="412"/>
      <c r="J78" s="415">
        <f t="shared" si="101"/>
        <v>0</v>
      </c>
      <c r="K78" s="412"/>
      <c r="L78" s="415">
        <f t="shared" si="102"/>
        <v>0</v>
      </c>
      <c r="M78" s="412"/>
      <c r="N78" s="415">
        <f t="shared" si="103"/>
        <v>0</v>
      </c>
      <c r="O78" s="412"/>
      <c r="P78" s="415">
        <f t="shared" si="104"/>
        <v>0</v>
      </c>
      <c r="Q78" s="412"/>
      <c r="R78" s="415">
        <f t="shared" si="105"/>
        <v>0</v>
      </c>
      <c r="S78" s="412"/>
      <c r="T78" s="415">
        <f t="shared" si="96"/>
        <v>0</v>
      </c>
      <c r="U78" s="412"/>
      <c r="V78" s="415">
        <f t="shared" si="106"/>
        <v>0</v>
      </c>
      <c r="W78" s="412"/>
      <c r="X78" s="415">
        <f t="shared" si="107"/>
        <v>0</v>
      </c>
      <c r="Y78" s="412"/>
      <c r="Z78" s="415">
        <f t="shared" si="96"/>
        <v>0</v>
      </c>
      <c r="AA78" s="405">
        <f t="shared" si="108"/>
        <v>0</v>
      </c>
      <c r="AB78" s="416">
        <f t="shared" si="41"/>
        <v>0</v>
      </c>
      <c r="AC78" s="407">
        <f t="shared" si="94"/>
        <v>0</v>
      </c>
      <c r="AD78" s="417">
        <f t="shared" si="42"/>
        <v>0</v>
      </c>
      <c r="AE78" s="214"/>
      <c r="AF78" s="54"/>
      <c r="AH78" s="21">
        <f t="shared" si="97"/>
        <v>0</v>
      </c>
    </row>
    <row r="79" spans="1:34" s="289" customFormat="1" ht="21.75" customHeight="1">
      <c r="A79" s="2">
        <v>6203</v>
      </c>
      <c r="B79" s="371" t="s">
        <v>26</v>
      </c>
      <c r="C79" s="412">
        <v>540</v>
      </c>
      <c r="D79" s="415">
        <f t="shared" si="98"/>
        <v>4.0346079705921908E-3</v>
      </c>
      <c r="E79" s="412">
        <v>540</v>
      </c>
      <c r="F79" s="415">
        <f t="shared" si="99"/>
        <v>5.1858478204643409E-3</v>
      </c>
      <c r="G79" s="412">
        <v>540</v>
      </c>
      <c r="H79" s="415">
        <f t="shared" si="100"/>
        <v>3.1263068882241437E-3</v>
      </c>
      <c r="I79" s="412">
        <v>540</v>
      </c>
      <c r="J79" s="415">
        <f t="shared" si="101"/>
        <v>3.5405743935702011E-3</v>
      </c>
      <c r="K79" s="412">
        <v>540</v>
      </c>
      <c r="L79" s="415">
        <f t="shared" si="102"/>
        <v>3.8711646086856668E-3</v>
      </c>
      <c r="M79" s="412">
        <v>540</v>
      </c>
      <c r="N79" s="415">
        <f t="shared" si="103"/>
        <v>2.7300440104007411E-3</v>
      </c>
      <c r="O79" s="412">
        <v>540</v>
      </c>
      <c r="P79" s="415">
        <f t="shared" si="104"/>
        <v>4.3121128451330546E-3</v>
      </c>
      <c r="Q79" s="412">
        <v>540</v>
      </c>
      <c r="R79" s="415">
        <f t="shared" si="105"/>
        <v>3.4726401520257439E-3</v>
      </c>
      <c r="S79" s="412">
        <v>540</v>
      </c>
      <c r="T79" s="415">
        <f t="shared" si="96"/>
        <v>3.4472022956080796E-3</v>
      </c>
      <c r="U79" s="412">
        <v>540</v>
      </c>
      <c r="V79" s="415">
        <f t="shared" si="106"/>
        <v>4.3459076147524074E-3</v>
      </c>
      <c r="W79" s="412">
        <v>540</v>
      </c>
      <c r="X79" s="415">
        <f t="shared" si="107"/>
        <v>4.2714077315649671E-3</v>
      </c>
      <c r="Y79" s="412">
        <v>540</v>
      </c>
      <c r="Z79" s="415">
        <f t="shared" si="96"/>
        <v>2.827504458636543E-3</v>
      </c>
      <c r="AA79" s="405">
        <f t="shared" si="108"/>
        <v>6480</v>
      </c>
      <c r="AB79" s="416">
        <f t="shared" si="41"/>
        <v>3.6413791720485713E-3</v>
      </c>
      <c r="AC79" s="407">
        <f t="shared" si="94"/>
        <v>540</v>
      </c>
      <c r="AD79" s="417">
        <f t="shared" si="42"/>
        <v>3.6413791720485713E-3</v>
      </c>
      <c r="AE79" s="214"/>
      <c r="AF79" s="54"/>
      <c r="AH79" s="21">
        <f t="shared" si="97"/>
        <v>2748.6</v>
      </c>
    </row>
    <row r="80" spans="1:34" s="289" customFormat="1" ht="21.75" customHeight="1">
      <c r="A80" s="2">
        <v>6204</v>
      </c>
      <c r="B80" s="371" t="s">
        <v>27</v>
      </c>
      <c r="C80" s="418"/>
      <c r="D80" s="415">
        <f t="shared" si="98"/>
        <v>0</v>
      </c>
      <c r="E80" s="418"/>
      <c r="F80" s="415">
        <f t="shared" si="99"/>
        <v>0</v>
      </c>
      <c r="G80" s="418"/>
      <c r="H80" s="415">
        <f t="shared" si="100"/>
        <v>0</v>
      </c>
      <c r="I80" s="418"/>
      <c r="J80" s="415">
        <f t="shared" si="101"/>
        <v>0</v>
      </c>
      <c r="K80" s="418"/>
      <c r="L80" s="415">
        <f t="shared" si="102"/>
        <v>0</v>
      </c>
      <c r="M80" s="418"/>
      <c r="N80" s="415">
        <f t="shared" si="103"/>
        <v>0</v>
      </c>
      <c r="O80" s="418"/>
      <c r="P80" s="415">
        <f t="shared" si="104"/>
        <v>0</v>
      </c>
      <c r="Q80" s="418"/>
      <c r="R80" s="415">
        <f t="shared" si="105"/>
        <v>0</v>
      </c>
      <c r="S80" s="418"/>
      <c r="T80" s="415">
        <f t="shared" si="96"/>
        <v>0</v>
      </c>
      <c r="U80" s="418"/>
      <c r="V80" s="415">
        <f t="shared" si="106"/>
        <v>0</v>
      </c>
      <c r="W80" s="418"/>
      <c r="X80" s="415">
        <f t="shared" si="107"/>
        <v>0</v>
      </c>
      <c r="Y80" s="418"/>
      <c r="Z80" s="415">
        <f t="shared" si="96"/>
        <v>0</v>
      </c>
      <c r="AA80" s="405">
        <f t="shared" si="108"/>
        <v>0</v>
      </c>
      <c r="AB80" s="416">
        <f t="shared" si="41"/>
        <v>0</v>
      </c>
      <c r="AC80" s="407">
        <f t="shared" si="94"/>
        <v>0</v>
      </c>
      <c r="AD80" s="417">
        <f t="shared" si="42"/>
        <v>0</v>
      </c>
      <c r="AE80" s="214"/>
      <c r="AF80" s="54"/>
      <c r="AH80" s="21">
        <f t="shared" si="97"/>
        <v>0</v>
      </c>
    </row>
    <row r="81" spans="1:34" s="289" customFormat="1" ht="21.75" customHeight="1">
      <c r="A81" s="2">
        <v>6205</v>
      </c>
      <c r="B81" s="371" t="s">
        <v>28</v>
      </c>
      <c r="C81" s="418"/>
      <c r="D81" s="415">
        <f t="shared" si="98"/>
        <v>0</v>
      </c>
      <c r="E81" s="418"/>
      <c r="F81" s="415">
        <f t="shared" si="99"/>
        <v>0</v>
      </c>
      <c r="G81" s="418"/>
      <c r="H81" s="415">
        <f t="shared" si="100"/>
        <v>0</v>
      </c>
      <c r="I81" s="418"/>
      <c r="J81" s="415">
        <f t="shared" si="101"/>
        <v>0</v>
      </c>
      <c r="K81" s="418"/>
      <c r="L81" s="415">
        <f t="shared" si="102"/>
        <v>0</v>
      </c>
      <c r="M81" s="418"/>
      <c r="N81" s="415">
        <f t="shared" si="103"/>
        <v>0</v>
      </c>
      <c r="O81" s="418"/>
      <c r="P81" s="415">
        <f t="shared" si="104"/>
        <v>0</v>
      </c>
      <c r="Q81" s="418"/>
      <c r="R81" s="415">
        <f t="shared" si="105"/>
        <v>0</v>
      </c>
      <c r="S81" s="418"/>
      <c r="T81" s="415">
        <f t="shared" si="96"/>
        <v>0</v>
      </c>
      <c r="U81" s="418"/>
      <c r="V81" s="415">
        <f t="shared" si="106"/>
        <v>0</v>
      </c>
      <c r="W81" s="418"/>
      <c r="X81" s="415">
        <f t="shared" si="107"/>
        <v>0</v>
      </c>
      <c r="Y81" s="418"/>
      <c r="Z81" s="415">
        <f t="shared" si="96"/>
        <v>0</v>
      </c>
      <c r="AA81" s="405">
        <f t="shared" si="108"/>
        <v>0</v>
      </c>
      <c r="AB81" s="416">
        <f t="shared" si="41"/>
        <v>0</v>
      </c>
      <c r="AC81" s="407">
        <f t="shared" si="94"/>
        <v>0</v>
      </c>
      <c r="AD81" s="417">
        <f t="shared" si="42"/>
        <v>0</v>
      </c>
      <c r="AE81" s="214"/>
      <c r="AF81" s="54"/>
      <c r="AH81" s="21">
        <f t="shared" si="97"/>
        <v>0</v>
      </c>
    </row>
    <row r="82" spans="1:34" s="289" customFormat="1" ht="21.75" customHeight="1">
      <c r="A82" s="2">
        <v>6206</v>
      </c>
      <c r="B82" s="371" t="s">
        <v>193</v>
      </c>
      <c r="C82" s="418">
        <v>175.08333333333331</v>
      </c>
      <c r="D82" s="415">
        <f t="shared" si="98"/>
        <v>1.308134467008363E-3</v>
      </c>
      <c r="E82" s="418">
        <v>175.08333333333331</v>
      </c>
      <c r="F82" s="415">
        <f t="shared" si="99"/>
        <v>1.6813991158635155E-3</v>
      </c>
      <c r="G82" s="418">
        <v>175.08333333333331</v>
      </c>
      <c r="H82" s="415">
        <f t="shared" si="100"/>
        <v>1.0136374648393402E-3</v>
      </c>
      <c r="I82" s="418">
        <v>175.08333333333331</v>
      </c>
      <c r="J82" s="415">
        <f t="shared" si="101"/>
        <v>1.1479547532239184E-3</v>
      </c>
      <c r="K82" s="418">
        <v>175.08333333333331</v>
      </c>
      <c r="L82" s="415">
        <f t="shared" si="102"/>
        <v>1.2551414880939175E-3</v>
      </c>
      <c r="M82" s="418">
        <v>175.08333333333331</v>
      </c>
      <c r="N82" s="415">
        <f t="shared" si="103"/>
        <v>8.8515778794011671E-4</v>
      </c>
      <c r="O82" s="418">
        <v>175.08333333333331</v>
      </c>
      <c r="P82" s="415">
        <f t="shared" si="104"/>
        <v>1.3981094271025534E-3</v>
      </c>
      <c r="Q82" s="418">
        <v>175.08333333333331</v>
      </c>
      <c r="R82" s="415">
        <f t="shared" si="105"/>
        <v>1.1259285431182234E-3</v>
      </c>
      <c r="S82" s="418">
        <v>175.08333333333331</v>
      </c>
      <c r="T82" s="415">
        <f t="shared" si="96"/>
        <v>1.1176808677581132E-3</v>
      </c>
      <c r="U82" s="418">
        <v>175.08333333333331</v>
      </c>
      <c r="V82" s="415">
        <f t="shared" si="106"/>
        <v>1.409066651017717E-3</v>
      </c>
      <c r="W82" s="418">
        <v>175.08333333333331</v>
      </c>
      <c r="X82" s="415">
        <f t="shared" si="107"/>
        <v>1.3849116734595671E-3</v>
      </c>
      <c r="Y82" s="418">
        <v>175.08333333333331</v>
      </c>
      <c r="Z82" s="415">
        <f t="shared" si="96"/>
        <v>9.1675723265360735E-4</v>
      </c>
      <c r="AA82" s="405">
        <f t="shared" si="108"/>
        <v>2100.9999999999995</v>
      </c>
      <c r="AB82" s="416">
        <f t="shared" si="41"/>
        <v>1.1806385247645134E-3</v>
      </c>
      <c r="AC82" s="407">
        <f t="shared" si="94"/>
        <v>175.08333333333329</v>
      </c>
      <c r="AD82" s="417">
        <f t="shared" si="42"/>
        <v>1.1806385247645134E-3</v>
      </c>
      <c r="AE82" s="309">
        <f>5*200</f>
        <v>1000</v>
      </c>
      <c r="AF82" s="54"/>
      <c r="AH82" s="21">
        <f t="shared" si="97"/>
        <v>891.17416666666657</v>
      </c>
    </row>
    <row r="83" spans="1:34" s="289" customFormat="1" ht="21.75" customHeight="1">
      <c r="A83" s="2">
        <v>6207</v>
      </c>
      <c r="B83" s="371" t="s">
        <v>194</v>
      </c>
      <c r="C83" s="418"/>
      <c r="D83" s="415">
        <f t="shared" si="98"/>
        <v>0</v>
      </c>
      <c r="E83" s="418"/>
      <c r="F83" s="415">
        <f t="shared" si="99"/>
        <v>0</v>
      </c>
      <c r="G83" s="418"/>
      <c r="H83" s="415">
        <f t="shared" si="100"/>
        <v>0</v>
      </c>
      <c r="I83" s="418"/>
      <c r="J83" s="415">
        <f t="shared" si="101"/>
        <v>0</v>
      </c>
      <c r="K83" s="418"/>
      <c r="L83" s="415">
        <f t="shared" si="102"/>
        <v>0</v>
      </c>
      <c r="M83" s="418"/>
      <c r="N83" s="415">
        <f t="shared" si="103"/>
        <v>0</v>
      </c>
      <c r="O83" s="418"/>
      <c r="P83" s="415">
        <f t="shared" si="104"/>
        <v>0</v>
      </c>
      <c r="Q83" s="418"/>
      <c r="R83" s="415">
        <f t="shared" si="105"/>
        <v>0</v>
      </c>
      <c r="S83" s="418"/>
      <c r="T83" s="415">
        <f t="shared" si="96"/>
        <v>0</v>
      </c>
      <c r="U83" s="418"/>
      <c r="V83" s="415">
        <f t="shared" si="106"/>
        <v>0</v>
      </c>
      <c r="W83" s="418"/>
      <c r="X83" s="415">
        <f t="shared" si="107"/>
        <v>0</v>
      </c>
      <c r="Y83" s="418"/>
      <c r="Z83" s="415">
        <f t="shared" si="96"/>
        <v>0</v>
      </c>
      <c r="AA83" s="405">
        <f t="shared" si="108"/>
        <v>0</v>
      </c>
      <c r="AB83" s="416">
        <f t="shared" si="41"/>
        <v>0</v>
      </c>
      <c r="AC83" s="407">
        <f t="shared" si="94"/>
        <v>0</v>
      </c>
      <c r="AD83" s="417">
        <f t="shared" si="42"/>
        <v>0</v>
      </c>
      <c r="AE83" s="214"/>
      <c r="AF83" s="54"/>
      <c r="AH83" s="21">
        <f t="shared" si="97"/>
        <v>0</v>
      </c>
    </row>
    <row r="84" spans="1:34" s="289" customFormat="1" ht="21.75" customHeight="1">
      <c r="A84" s="2">
        <v>6208</v>
      </c>
      <c r="B84" s="371" t="s">
        <v>195</v>
      </c>
      <c r="C84" s="418"/>
      <c r="D84" s="415">
        <f t="shared" si="98"/>
        <v>0</v>
      </c>
      <c r="E84" s="418"/>
      <c r="F84" s="415">
        <f t="shared" si="99"/>
        <v>0</v>
      </c>
      <c r="G84" s="418"/>
      <c r="H84" s="415">
        <f t="shared" si="100"/>
        <v>0</v>
      </c>
      <c r="I84" s="418"/>
      <c r="J84" s="415">
        <f t="shared" si="101"/>
        <v>0</v>
      </c>
      <c r="K84" s="418"/>
      <c r="L84" s="415">
        <f t="shared" si="102"/>
        <v>0</v>
      </c>
      <c r="M84" s="418"/>
      <c r="N84" s="415">
        <f t="shared" si="103"/>
        <v>0</v>
      </c>
      <c r="O84" s="418"/>
      <c r="P84" s="415">
        <f t="shared" si="104"/>
        <v>0</v>
      </c>
      <c r="Q84" s="418"/>
      <c r="R84" s="415">
        <f t="shared" si="105"/>
        <v>0</v>
      </c>
      <c r="S84" s="418"/>
      <c r="T84" s="415">
        <f t="shared" si="96"/>
        <v>0</v>
      </c>
      <c r="U84" s="418"/>
      <c r="V84" s="415">
        <f t="shared" si="106"/>
        <v>0</v>
      </c>
      <c r="W84" s="418"/>
      <c r="X84" s="415">
        <f t="shared" si="107"/>
        <v>0</v>
      </c>
      <c r="Y84" s="418"/>
      <c r="Z84" s="415">
        <f t="shared" si="96"/>
        <v>0</v>
      </c>
      <c r="AA84" s="405">
        <f t="shared" si="108"/>
        <v>0</v>
      </c>
      <c r="AB84" s="416">
        <f t="shared" si="41"/>
        <v>0</v>
      </c>
      <c r="AC84" s="407">
        <f t="shared" si="94"/>
        <v>0</v>
      </c>
      <c r="AD84" s="417">
        <f t="shared" si="42"/>
        <v>0</v>
      </c>
      <c r="AE84" s="214"/>
      <c r="AF84" s="54"/>
      <c r="AH84" s="21">
        <f t="shared" si="97"/>
        <v>0</v>
      </c>
    </row>
    <row r="85" spans="1:34" s="289" customFormat="1" ht="21.75" customHeight="1">
      <c r="A85" s="2">
        <v>6209</v>
      </c>
      <c r="B85" s="374" t="s">
        <v>29</v>
      </c>
      <c r="C85" s="418">
        <v>210</v>
      </c>
      <c r="D85" s="415">
        <f t="shared" si="98"/>
        <v>1.569014210785852E-3</v>
      </c>
      <c r="E85" s="418">
        <v>210</v>
      </c>
      <c r="F85" s="415">
        <f t="shared" si="99"/>
        <v>2.0167185968472437E-3</v>
      </c>
      <c r="G85" s="418">
        <v>210</v>
      </c>
      <c r="H85" s="415">
        <f t="shared" si="100"/>
        <v>1.2157860120871669E-3</v>
      </c>
      <c r="I85" s="418">
        <v>210</v>
      </c>
      <c r="J85" s="415">
        <f t="shared" si="101"/>
        <v>1.3768900419439672E-3</v>
      </c>
      <c r="K85" s="418">
        <v>210</v>
      </c>
      <c r="L85" s="415">
        <f t="shared" si="102"/>
        <v>1.5054529033777593E-3</v>
      </c>
      <c r="M85" s="418">
        <v>210</v>
      </c>
      <c r="N85" s="415">
        <f t="shared" si="103"/>
        <v>1.0616837818225103E-3</v>
      </c>
      <c r="O85" s="418">
        <v>210</v>
      </c>
      <c r="P85" s="415">
        <f t="shared" si="104"/>
        <v>1.6769327731072988E-3</v>
      </c>
      <c r="Q85" s="418">
        <v>210</v>
      </c>
      <c r="R85" s="415">
        <f t="shared" si="105"/>
        <v>1.3504711702322337E-3</v>
      </c>
      <c r="S85" s="418">
        <v>210</v>
      </c>
      <c r="T85" s="415">
        <f t="shared" si="96"/>
        <v>1.3405786705142531E-3</v>
      </c>
      <c r="U85" s="418">
        <v>210</v>
      </c>
      <c r="V85" s="415">
        <f t="shared" si="106"/>
        <v>1.6900751835148249E-3</v>
      </c>
      <c r="W85" s="418">
        <v>210</v>
      </c>
      <c r="X85" s="415">
        <f t="shared" si="107"/>
        <v>1.6611030067197094E-3</v>
      </c>
      <c r="Y85" s="418">
        <v>210</v>
      </c>
      <c r="Z85" s="415">
        <f t="shared" si="96"/>
        <v>1.0995850672475445E-3</v>
      </c>
      <c r="AA85" s="405">
        <f t="shared" si="108"/>
        <v>2520</v>
      </c>
      <c r="AB85" s="416">
        <f t="shared" si="41"/>
        <v>1.416091900241111E-3</v>
      </c>
      <c r="AC85" s="407">
        <f t="shared" si="94"/>
        <v>210</v>
      </c>
      <c r="AD85" s="417">
        <f t="shared" si="42"/>
        <v>1.4160919002411112E-3</v>
      </c>
      <c r="AE85" s="214"/>
      <c r="AF85" s="54"/>
      <c r="AH85" s="21">
        <f t="shared" si="97"/>
        <v>1068.8999999999999</v>
      </c>
    </row>
    <row r="86" spans="1:34" s="289" customFormat="1" ht="21.75" customHeight="1">
      <c r="A86" s="2">
        <v>6210</v>
      </c>
      <c r="B86" s="371" t="s">
        <v>30</v>
      </c>
      <c r="C86" s="418"/>
      <c r="D86" s="415">
        <f t="shared" si="98"/>
        <v>0</v>
      </c>
      <c r="E86" s="418"/>
      <c r="F86" s="415">
        <f t="shared" si="99"/>
        <v>0</v>
      </c>
      <c r="G86" s="418"/>
      <c r="H86" s="415">
        <f t="shared" si="100"/>
        <v>0</v>
      </c>
      <c r="I86" s="418"/>
      <c r="J86" s="415">
        <f t="shared" si="101"/>
        <v>0</v>
      </c>
      <c r="K86" s="418"/>
      <c r="L86" s="415">
        <f t="shared" si="102"/>
        <v>0</v>
      </c>
      <c r="M86" s="418"/>
      <c r="N86" s="415">
        <f t="shared" si="103"/>
        <v>0</v>
      </c>
      <c r="O86" s="418"/>
      <c r="P86" s="415">
        <f t="shared" si="104"/>
        <v>0</v>
      </c>
      <c r="Q86" s="418"/>
      <c r="R86" s="415">
        <f t="shared" si="105"/>
        <v>0</v>
      </c>
      <c r="S86" s="418"/>
      <c r="T86" s="415">
        <f t="shared" si="96"/>
        <v>0</v>
      </c>
      <c r="U86" s="418"/>
      <c r="V86" s="415">
        <f t="shared" si="106"/>
        <v>0</v>
      </c>
      <c r="W86" s="418"/>
      <c r="X86" s="415">
        <f t="shared" si="107"/>
        <v>0</v>
      </c>
      <c r="Y86" s="418"/>
      <c r="Z86" s="415">
        <f t="shared" si="96"/>
        <v>0</v>
      </c>
      <c r="AA86" s="405">
        <f t="shared" si="108"/>
        <v>0</v>
      </c>
      <c r="AB86" s="416">
        <f t="shared" si="41"/>
        <v>0</v>
      </c>
      <c r="AC86" s="407">
        <f t="shared" si="94"/>
        <v>0</v>
      </c>
      <c r="AD86" s="417">
        <f t="shared" si="42"/>
        <v>0</v>
      </c>
      <c r="AE86" s="214"/>
      <c r="AF86" s="54"/>
      <c r="AH86" s="21">
        <f t="shared" si="97"/>
        <v>0</v>
      </c>
    </row>
    <row r="87" spans="1:34" s="289" customFormat="1" ht="21.75" customHeight="1">
      <c r="A87" s="2">
        <v>6211</v>
      </c>
      <c r="B87" s="371" t="s">
        <v>31</v>
      </c>
      <c r="C87" s="418"/>
      <c r="D87" s="415">
        <f t="shared" si="98"/>
        <v>0</v>
      </c>
      <c r="E87" s="418"/>
      <c r="F87" s="415">
        <f t="shared" si="99"/>
        <v>0</v>
      </c>
      <c r="G87" s="418"/>
      <c r="H87" s="415">
        <f t="shared" si="100"/>
        <v>0</v>
      </c>
      <c r="I87" s="418"/>
      <c r="J87" s="415">
        <f t="shared" si="101"/>
        <v>0</v>
      </c>
      <c r="K87" s="418"/>
      <c r="L87" s="415">
        <f t="shared" si="102"/>
        <v>0</v>
      </c>
      <c r="M87" s="418"/>
      <c r="N87" s="415">
        <f t="shared" si="103"/>
        <v>0</v>
      </c>
      <c r="O87" s="418"/>
      <c r="P87" s="415">
        <f t="shared" si="104"/>
        <v>0</v>
      </c>
      <c r="Q87" s="418"/>
      <c r="R87" s="415">
        <f t="shared" si="105"/>
        <v>0</v>
      </c>
      <c r="S87" s="418"/>
      <c r="T87" s="415">
        <f t="shared" si="96"/>
        <v>0</v>
      </c>
      <c r="U87" s="418"/>
      <c r="V87" s="415">
        <f t="shared" si="106"/>
        <v>0</v>
      </c>
      <c r="W87" s="418"/>
      <c r="X87" s="415">
        <f t="shared" si="107"/>
        <v>0</v>
      </c>
      <c r="Y87" s="418"/>
      <c r="Z87" s="415">
        <f t="shared" si="96"/>
        <v>0</v>
      </c>
      <c r="AA87" s="405">
        <f t="shared" si="108"/>
        <v>0</v>
      </c>
      <c r="AB87" s="416">
        <f t="shared" si="41"/>
        <v>0</v>
      </c>
      <c r="AC87" s="407">
        <f t="shared" si="94"/>
        <v>0</v>
      </c>
      <c r="AD87" s="417">
        <f t="shared" si="42"/>
        <v>0</v>
      </c>
      <c r="AE87" s="214"/>
      <c r="AF87" s="54"/>
      <c r="AH87" s="21">
        <f t="shared" si="97"/>
        <v>0</v>
      </c>
    </row>
    <row r="88" spans="1:34" s="289" customFormat="1" ht="21.75" customHeight="1">
      <c r="A88" s="2">
        <v>6212</v>
      </c>
      <c r="B88" s="371" t="s">
        <v>32</v>
      </c>
      <c r="C88" s="55">
        <v>25</v>
      </c>
      <c r="D88" s="49">
        <f t="shared" si="98"/>
        <v>1.8678740604593475E-4</v>
      </c>
      <c r="E88" s="55">
        <v>25</v>
      </c>
      <c r="F88" s="49">
        <f t="shared" si="99"/>
        <v>2.4008554724371951E-4</v>
      </c>
      <c r="G88" s="55">
        <v>25</v>
      </c>
      <c r="H88" s="49">
        <f t="shared" si="100"/>
        <v>1.4473643001037702E-4</v>
      </c>
      <c r="I88" s="55">
        <v>25</v>
      </c>
      <c r="J88" s="49">
        <f t="shared" si="101"/>
        <v>1.639154811838056E-4</v>
      </c>
      <c r="K88" s="55">
        <v>25</v>
      </c>
      <c r="L88" s="49">
        <f t="shared" si="102"/>
        <v>1.7922058373544755E-4</v>
      </c>
      <c r="M88" s="55">
        <v>25</v>
      </c>
      <c r="N88" s="49">
        <f t="shared" si="103"/>
        <v>1.2639092640744171E-4</v>
      </c>
      <c r="O88" s="55">
        <v>25</v>
      </c>
      <c r="P88" s="49">
        <f t="shared" si="104"/>
        <v>1.9963485394134509E-4</v>
      </c>
      <c r="Q88" s="55">
        <v>25</v>
      </c>
      <c r="R88" s="49">
        <f t="shared" si="105"/>
        <v>1.6077037740859924E-4</v>
      </c>
      <c r="S88" s="55">
        <v>25</v>
      </c>
      <c r="T88" s="49">
        <f t="shared" si="96"/>
        <v>1.5959269887074441E-4</v>
      </c>
      <c r="U88" s="55">
        <v>25</v>
      </c>
      <c r="V88" s="49">
        <f t="shared" si="106"/>
        <v>2.0119942660890773E-4</v>
      </c>
      <c r="W88" s="55">
        <v>25</v>
      </c>
      <c r="X88" s="49">
        <f t="shared" si="107"/>
        <v>1.9775035794282255E-4</v>
      </c>
      <c r="Y88" s="55">
        <v>25</v>
      </c>
      <c r="Z88" s="415">
        <f t="shared" si="96"/>
        <v>1.3090298419613625E-4</v>
      </c>
      <c r="AA88" s="405">
        <f t="shared" si="108"/>
        <v>300</v>
      </c>
      <c r="AB88" s="416">
        <f t="shared" si="41"/>
        <v>1.6858236907632275E-4</v>
      </c>
      <c r="AC88" s="470">
        <f t="shared" si="94"/>
        <v>25</v>
      </c>
      <c r="AD88" s="417">
        <f t="shared" si="42"/>
        <v>1.6858236907632275E-4</v>
      </c>
      <c r="AE88" s="214"/>
      <c r="AF88" s="54"/>
      <c r="AH88" s="21">
        <f t="shared" si="97"/>
        <v>127.25</v>
      </c>
    </row>
    <row r="89" spans="1:34" s="289" customFormat="1" ht="21.75" customHeight="1">
      <c r="A89" s="2">
        <v>6213</v>
      </c>
      <c r="B89" s="371" t="s">
        <v>33</v>
      </c>
      <c r="C89" s="402"/>
      <c r="D89" s="415">
        <f t="shared" si="98"/>
        <v>0</v>
      </c>
      <c r="E89" s="402"/>
      <c r="F89" s="415">
        <f t="shared" si="99"/>
        <v>0</v>
      </c>
      <c r="G89" s="402"/>
      <c r="H89" s="415">
        <f t="shared" si="100"/>
        <v>0</v>
      </c>
      <c r="I89" s="402"/>
      <c r="J89" s="415">
        <f t="shared" si="101"/>
        <v>0</v>
      </c>
      <c r="K89" s="402"/>
      <c r="L89" s="415">
        <f t="shared" si="102"/>
        <v>0</v>
      </c>
      <c r="M89" s="402"/>
      <c r="N89" s="415">
        <f t="shared" si="103"/>
        <v>0</v>
      </c>
      <c r="O89" s="402"/>
      <c r="P89" s="415">
        <f t="shared" si="104"/>
        <v>0</v>
      </c>
      <c r="Q89" s="402"/>
      <c r="R89" s="415">
        <f t="shared" si="105"/>
        <v>0</v>
      </c>
      <c r="S89" s="402"/>
      <c r="T89" s="415">
        <f t="shared" si="96"/>
        <v>0</v>
      </c>
      <c r="U89" s="402"/>
      <c r="V89" s="415">
        <f t="shared" si="106"/>
        <v>0</v>
      </c>
      <c r="W89" s="402"/>
      <c r="X89" s="415">
        <f t="shared" si="107"/>
        <v>0</v>
      </c>
      <c r="Y89" s="402"/>
      <c r="Z89" s="415">
        <f t="shared" si="96"/>
        <v>0</v>
      </c>
      <c r="AA89" s="405">
        <f t="shared" si="108"/>
        <v>0</v>
      </c>
      <c r="AB89" s="416">
        <f t="shared" si="41"/>
        <v>0</v>
      </c>
      <c r="AC89" s="407">
        <f t="shared" si="94"/>
        <v>0</v>
      </c>
      <c r="AD89" s="417">
        <f t="shared" si="42"/>
        <v>0</v>
      </c>
      <c r="AE89" s="214"/>
      <c r="AF89" s="54"/>
      <c r="AH89" s="21">
        <f t="shared" si="97"/>
        <v>0</v>
      </c>
    </row>
    <row r="90" spans="1:34" s="289" customFormat="1" ht="21.75" customHeight="1">
      <c r="A90" s="128">
        <v>6214</v>
      </c>
      <c r="B90" s="374" t="s">
        <v>34</v>
      </c>
      <c r="C90" s="402">
        <v>450</v>
      </c>
      <c r="D90" s="415">
        <f t="shared" si="98"/>
        <v>3.3621733088268256E-3</v>
      </c>
      <c r="E90" s="402">
        <v>450</v>
      </c>
      <c r="F90" s="415">
        <f t="shared" si="99"/>
        <v>4.3215398503869511E-3</v>
      </c>
      <c r="G90" s="402">
        <v>450</v>
      </c>
      <c r="H90" s="415">
        <f t="shared" si="100"/>
        <v>2.6052557401867863E-3</v>
      </c>
      <c r="I90" s="402">
        <v>450</v>
      </c>
      <c r="J90" s="415">
        <f t="shared" si="101"/>
        <v>2.9504786613085009E-3</v>
      </c>
      <c r="K90" s="402">
        <v>450</v>
      </c>
      <c r="L90" s="415">
        <f t="shared" si="102"/>
        <v>3.2259705072380557E-3</v>
      </c>
      <c r="M90" s="402">
        <v>450</v>
      </c>
      <c r="N90" s="415">
        <f t="shared" si="103"/>
        <v>2.2750366753339509E-3</v>
      </c>
      <c r="O90" s="402">
        <v>450</v>
      </c>
      <c r="P90" s="415">
        <f t="shared" si="104"/>
        <v>3.5934273709442117E-3</v>
      </c>
      <c r="Q90" s="402">
        <v>450</v>
      </c>
      <c r="R90" s="415">
        <f t="shared" si="105"/>
        <v>2.8938667933547865E-3</v>
      </c>
      <c r="S90" s="402">
        <v>450</v>
      </c>
      <c r="T90" s="415">
        <f t="shared" si="96"/>
        <v>2.8726685796733997E-3</v>
      </c>
      <c r="U90" s="402">
        <v>450</v>
      </c>
      <c r="V90" s="415">
        <f t="shared" si="106"/>
        <v>3.6215896789603391E-3</v>
      </c>
      <c r="W90" s="402">
        <v>450</v>
      </c>
      <c r="X90" s="415">
        <f t="shared" si="107"/>
        <v>3.5595064429708059E-3</v>
      </c>
      <c r="Y90" s="402">
        <v>450</v>
      </c>
      <c r="Z90" s="415">
        <f t="shared" si="96"/>
        <v>2.3562537155304526E-3</v>
      </c>
      <c r="AA90" s="405">
        <f t="shared" si="108"/>
        <v>5400</v>
      </c>
      <c r="AB90" s="416">
        <f t="shared" si="41"/>
        <v>3.0344826433738093E-3</v>
      </c>
      <c r="AC90" s="407">
        <f t="shared" si="94"/>
        <v>450</v>
      </c>
      <c r="AD90" s="417">
        <f t="shared" si="42"/>
        <v>3.0344826433738093E-3</v>
      </c>
      <c r="AE90" s="214"/>
      <c r="AF90" s="54"/>
      <c r="AH90" s="21">
        <f t="shared" si="97"/>
        <v>2290.5</v>
      </c>
    </row>
    <row r="91" spans="1:34" s="289" customFormat="1" ht="21.75" customHeight="1">
      <c r="A91" s="2">
        <v>6215</v>
      </c>
      <c r="B91" s="374" t="s">
        <v>197</v>
      </c>
      <c r="C91" s="418">
        <v>742.5</v>
      </c>
      <c r="D91" s="415">
        <f t="shared" si="98"/>
        <v>5.5475859595642621E-3</v>
      </c>
      <c r="E91" s="418">
        <v>742.5</v>
      </c>
      <c r="F91" s="415">
        <f t="shared" si="99"/>
        <v>7.1305407531384694E-3</v>
      </c>
      <c r="G91" s="418">
        <v>742.5</v>
      </c>
      <c r="H91" s="415">
        <f t="shared" si="100"/>
        <v>4.2986719713081975E-3</v>
      </c>
      <c r="I91" s="418">
        <v>742.5</v>
      </c>
      <c r="J91" s="415">
        <f t="shared" si="101"/>
        <v>4.8682897911590268E-3</v>
      </c>
      <c r="K91" s="418">
        <v>742.5</v>
      </c>
      <c r="L91" s="415">
        <f t="shared" si="102"/>
        <v>5.3228513369427922E-3</v>
      </c>
      <c r="M91" s="418">
        <v>742.5</v>
      </c>
      <c r="N91" s="415">
        <f t="shared" si="103"/>
        <v>3.7538105143010187E-3</v>
      </c>
      <c r="O91" s="418">
        <v>742.5</v>
      </c>
      <c r="P91" s="415">
        <f t="shared" si="104"/>
        <v>5.9291551620579497E-3</v>
      </c>
      <c r="Q91" s="418">
        <v>742.5</v>
      </c>
      <c r="R91" s="415">
        <f t="shared" si="105"/>
        <v>4.7748802090353979E-3</v>
      </c>
      <c r="S91" s="418">
        <v>742.5</v>
      </c>
      <c r="T91" s="415">
        <f t="shared" ref="T91:T122" si="109">S91/S$12</f>
        <v>4.739903156461109E-3</v>
      </c>
      <c r="U91" s="418">
        <v>742.5</v>
      </c>
      <c r="V91" s="415">
        <f t="shared" si="106"/>
        <v>5.97562297028456E-3</v>
      </c>
      <c r="W91" s="418">
        <v>742.5</v>
      </c>
      <c r="X91" s="415">
        <f t="shared" si="107"/>
        <v>5.8731856309018294E-3</v>
      </c>
      <c r="Y91" s="418">
        <v>742.5</v>
      </c>
      <c r="Z91" s="415">
        <f t="shared" ref="Z91:Z122" si="110">Y91/Y$12</f>
        <v>3.8878186306252464E-3</v>
      </c>
      <c r="AA91" s="405">
        <f t="shared" si="108"/>
        <v>8910</v>
      </c>
      <c r="AB91" s="416">
        <f t="shared" si="41"/>
        <v>5.0068963615667855E-3</v>
      </c>
      <c r="AC91" s="407">
        <f t="shared" si="94"/>
        <v>742.5</v>
      </c>
      <c r="AD91" s="417">
        <f t="shared" si="42"/>
        <v>5.0068963615667855E-3</v>
      </c>
      <c r="AE91" s="214"/>
      <c r="AF91" s="54"/>
      <c r="AH91" s="21">
        <f t="shared" si="97"/>
        <v>3779.3249999999998</v>
      </c>
    </row>
    <row r="92" spans="1:34" s="289" customFormat="1" ht="21.75" customHeight="1">
      <c r="A92" s="2">
        <v>6216</v>
      </c>
      <c r="B92" s="374" t="s">
        <v>91</v>
      </c>
      <c r="C92" s="418">
        <v>0</v>
      </c>
      <c r="D92" s="415">
        <f t="shared" si="98"/>
        <v>0</v>
      </c>
      <c r="E92" s="418">
        <v>0</v>
      </c>
      <c r="F92" s="415">
        <f t="shared" si="99"/>
        <v>0</v>
      </c>
      <c r="G92" s="418">
        <v>0</v>
      </c>
      <c r="H92" s="415">
        <f t="shared" si="100"/>
        <v>0</v>
      </c>
      <c r="I92" s="418">
        <v>0</v>
      </c>
      <c r="J92" s="415">
        <f t="shared" si="101"/>
        <v>0</v>
      </c>
      <c r="K92" s="418">
        <v>0</v>
      </c>
      <c r="L92" s="415">
        <f t="shared" si="102"/>
        <v>0</v>
      </c>
      <c r="M92" s="418">
        <v>0</v>
      </c>
      <c r="N92" s="415">
        <f t="shared" si="103"/>
        <v>0</v>
      </c>
      <c r="O92" s="418">
        <v>0</v>
      </c>
      <c r="P92" s="415">
        <f t="shared" si="104"/>
        <v>0</v>
      </c>
      <c r="Q92" s="418">
        <v>0</v>
      </c>
      <c r="R92" s="415">
        <f t="shared" si="105"/>
        <v>0</v>
      </c>
      <c r="S92" s="418">
        <v>0</v>
      </c>
      <c r="T92" s="415">
        <f t="shared" si="109"/>
        <v>0</v>
      </c>
      <c r="U92" s="418">
        <v>0</v>
      </c>
      <c r="V92" s="415">
        <f t="shared" si="106"/>
        <v>0</v>
      </c>
      <c r="W92" s="418">
        <v>0</v>
      </c>
      <c r="X92" s="415">
        <f t="shared" si="107"/>
        <v>0</v>
      </c>
      <c r="Y92" s="418">
        <v>0</v>
      </c>
      <c r="Z92" s="415">
        <f t="shared" si="110"/>
        <v>0</v>
      </c>
      <c r="AA92" s="405">
        <f t="shared" si="108"/>
        <v>0</v>
      </c>
      <c r="AB92" s="416">
        <f t="shared" si="41"/>
        <v>0</v>
      </c>
      <c r="AC92" s="407">
        <f t="shared" si="94"/>
        <v>0</v>
      </c>
      <c r="AD92" s="417">
        <f t="shared" si="42"/>
        <v>0</v>
      </c>
      <c r="AE92" s="214"/>
      <c r="AF92" s="54"/>
      <c r="AH92" s="21">
        <f t="shared" si="97"/>
        <v>0</v>
      </c>
    </row>
    <row r="93" spans="1:34" s="289" customFormat="1" ht="21.75" customHeight="1" thickBot="1">
      <c r="A93" s="4">
        <v>6299</v>
      </c>
      <c r="B93" s="376" t="s">
        <v>114</v>
      </c>
      <c r="C93" s="444">
        <f>SUM(C77:C92)</f>
        <v>7002.583333333333</v>
      </c>
      <c r="D93" s="445">
        <f>C93/C12</f>
        <v>5.2319775058153141E-2</v>
      </c>
      <c r="E93" s="444">
        <f>SUM(E77:E92)</f>
        <v>7002.583333333333</v>
      </c>
      <c r="F93" s="445">
        <f>E93/E12</f>
        <v>6.7248762068123302E-2</v>
      </c>
      <c r="G93" s="444">
        <f>SUM(G77:G92)</f>
        <v>7002.583333333333</v>
      </c>
      <c r="H93" s="445">
        <f>G93/G12</f>
        <v>4.0541156500673303E-2</v>
      </c>
      <c r="I93" s="444">
        <f>SUM(I77:I92)</f>
        <v>7002.583333333333</v>
      </c>
      <c r="J93" s="445">
        <f>I93/I12</f>
        <v>4.5913272664521228E-2</v>
      </c>
      <c r="K93" s="446">
        <f>SUM(K77:K92)</f>
        <v>7002.583333333333</v>
      </c>
      <c r="L93" s="445">
        <f>K93/K12</f>
        <v>5.0200282906244641E-2</v>
      </c>
      <c r="M93" s="446">
        <f>SUM(M77:M92)</f>
        <v>7002.583333333333</v>
      </c>
      <c r="N93" s="445">
        <f>M93/M12</f>
        <v>3.5402519789812445E-2</v>
      </c>
      <c r="O93" s="446">
        <f>SUM(O77:O92)</f>
        <v>7002.583333333333</v>
      </c>
      <c r="P93" s="445">
        <f>O93/O12</f>
        <v>5.5918388038483896E-2</v>
      </c>
      <c r="Q93" s="444">
        <f>SUM(Q77:Q92)</f>
        <v>7002.583333333333</v>
      </c>
      <c r="R93" s="445">
        <f>Q93/Q12</f>
        <v>4.5032318613406674E-2</v>
      </c>
      <c r="S93" s="444">
        <f>SUM(S77:S92)</f>
        <v>7002.583333333333</v>
      </c>
      <c r="T93" s="445">
        <f t="shared" si="109"/>
        <v>4.470244692935841E-2</v>
      </c>
      <c r="U93" s="444">
        <f>SUM(U77:U92)</f>
        <v>7002.583333333333</v>
      </c>
      <c r="V93" s="445">
        <f>U93/U12</f>
        <v>5.6356630057910417E-2</v>
      </c>
      <c r="W93" s="444">
        <f>SUM(W77:W92)</f>
        <v>7002.583333333333</v>
      </c>
      <c r="X93" s="445">
        <f>W93/W12</f>
        <v>5.5390534427644404E-2</v>
      </c>
      <c r="Y93" s="444">
        <f>SUM(Y77:Y92)</f>
        <v>7002.583333333333</v>
      </c>
      <c r="Z93" s="445">
        <f t="shared" si="110"/>
        <v>3.6666362216618412E-2</v>
      </c>
      <c r="AA93" s="422">
        <f>SUM(AA77:AA92)</f>
        <v>84031</v>
      </c>
      <c r="AB93" s="423">
        <f t="shared" si="41"/>
        <v>4.7220483519508256E-2</v>
      </c>
      <c r="AC93" s="424">
        <f t="shared" si="94"/>
        <v>7002.583333333333</v>
      </c>
      <c r="AD93" s="425">
        <f t="shared" si="42"/>
        <v>4.7220483519508256E-2</v>
      </c>
      <c r="AE93" s="218"/>
      <c r="AF93" s="220"/>
      <c r="AG93" s="209"/>
      <c r="AH93" s="21">
        <f t="shared" si="97"/>
        <v>35643.149166666662</v>
      </c>
    </row>
    <row r="94" spans="1:34" s="289" customFormat="1" ht="21.75" customHeight="1" thickTop="1">
      <c r="A94" s="2">
        <v>6301</v>
      </c>
      <c r="B94" s="371" t="s">
        <v>36</v>
      </c>
      <c r="C94" s="280"/>
      <c r="D94" s="49">
        <f t="shared" ref="D94:D114" si="111">C94/C$12</f>
        <v>0</v>
      </c>
      <c r="E94" s="280"/>
      <c r="F94" s="49">
        <f t="shared" ref="F94:F114" si="112">E94/E$12</f>
        <v>0</v>
      </c>
      <c r="G94" s="280"/>
      <c r="H94" s="49">
        <f t="shared" ref="H94:H114" si="113">G94/G$12</f>
        <v>0</v>
      </c>
      <c r="I94" s="280"/>
      <c r="J94" s="49">
        <f t="shared" ref="J94:J114" si="114">I94/I$12</f>
        <v>0</v>
      </c>
      <c r="K94" s="280"/>
      <c r="L94" s="49">
        <f t="shared" ref="L94:L114" si="115">K94/K$12</f>
        <v>0</v>
      </c>
      <c r="M94" s="280"/>
      <c r="N94" s="49">
        <f t="shared" ref="N94:N114" si="116">M94/M$12</f>
        <v>0</v>
      </c>
      <c r="O94" s="280"/>
      <c r="P94" s="49">
        <f t="shared" ref="P94:P114" si="117">O94/O$12</f>
        <v>0</v>
      </c>
      <c r="Q94" s="280"/>
      <c r="R94" s="49">
        <f t="shared" ref="R94:R114" si="118">Q94/Q$12</f>
        <v>0</v>
      </c>
      <c r="S94" s="280"/>
      <c r="T94" s="49">
        <f t="shared" si="109"/>
        <v>0</v>
      </c>
      <c r="U94" s="280"/>
      <c r="V94" s="49">
        <f t="shared" ref="V94:V114" si="119">U94/U$12</f>
        <v>0</v>
      </c>
      <c r="W94" s="280"/>
      <c r="X94" s="49">
        <f t="shared" ref="X94:X114" si="120">W94/W$12</f>
        <v>0</v>
      </c>
      <c r="Y94" s="280"/>
      <c r="Z94" s="49">
        <f t="shared" si="110"/>
        <v>0</v>
      </c>
      <c r="AA94" s="582">
        <f t="shared" ref="AA94:AA114" si="121">C94+E94+G94+I94+K94+M94+O94+Q94+S94+U94+W94+Y94</f>
        <v>0</v>
      </c>
      <c r="AB94" s="232">
        <f>AA94/AA$12</f>
        <v>0</v>
      </c>
      <c r="AC94" s="124">
        <f t="shared" si="94"/>
        <v>0</v>
      </c>
      <c r="AD94" s="49">
        <f>AC94/AC$12</f>
        <v>0</v>
      </c>
      <c r="AE94" s="214"/>
      <c r="AF94" s="54"/>
      <c r="AH94" s="21">
        <f t="shared" si="97"/>
        <v>0</v>
      </c>
    </row>
    <row r="95" spans="1:34" s="289" customFormat="1" ht="21.75" customHeight="1">
      <c r="A95" s="2">
        <v>6302</v>
      </c>
      <c r="B95" s="371" t="s">
        <v>37</v>
      </c>
      <c r="C95" s="280"/>
      <c r="D95" s="49">
        <f t="shared" si="111"/>
        <v>0</v>
      </c>
      <c r="E95" s="280"/>
      <c r="F95" s="49">
        <f t="shared" si="112"/>
        <v>0</v>
      </c>
      <c r="G95" s="280"/>
      <c r="H95" s="49">
        <f t="shared" si="113"/>
        <v>0</v>
      </c>
      <c r="I95" s="280"/>
      <c r="J95" s="49">
        <f t="shared" si="114"/>
        <v>0</v>
      </c>
      <c r="K95" s="280"/>
      <c r="L95" s="49">
        <f t="shared" si="115"/>
        <v>0</v>
      </c>
      <c r="M95" s="280"/>
      <c r="N95" s="49">
        <f t="shared" si="116"/>
        <v>0</v>
      </c>
      <c r="O95" s="280"/>
      <c r="P95" s="49">
        <f t="shared" si="117"/>
        <v>0</v>
      </c>
      <c r="Q95" s="280"/>
      <c r="R95" s="49">
        <f t="shared" si="118"/>
        <v>0</v>
      </c>
      <c r="S95" s="280"/>
      <c r="T95" s="49">
        <f t="shared" si="109"/>
        <v>0</v>
      </c>
      <c r="U95" s="280"/>
      <c r="V95" s="49">
        <f t="shared" si="119"/>
        <v>0</v>
      </c>
      <c r="W95" s="280"/>
      <c r="X95" s="49">
        <f t="shared" si="120"/>
        <v>0</v>
      </c>
      <c r="Y95" s="280"/>
      <c r="Z95" s="49">
        <f t="shared" si="110"/>
        <v>0</v>
      </c>
      <c r="AA95" s="320">
        <f t="shared" si="121"/>
        <v>0</v>
      </c>
      <c r="AB95" s="49">
        <f t="shared" ref="AB95:AB99" si="122">AA95/AA$12</f>
        <v>0</v>
      </c>
      <c r="AC95" s="124">
        <f t="shared" si="94"/>
        <v>0</v>
      </c>
      <c r="AD95" s="49">
        <f t="shared" ref="AD95:AD99" si="123">AC95/AC$12</f>
        <v>0</v>
      </c>
      <c r="AE95" s="214"/>
      <c r="AF95" s="54"/>
      <c r="AH95" s="21">
        <f t="shared" si="97"/>
        <v>0</v>
      </c>
    </row>
    <row r="96" spans="1:34" s="289" customFormat="1" ht="21.75" customHeight="1">
      <c r="A96" s="2">
        <v>6303</v>
      </c>
      <c r="B96" s="371" t="s">
        <v>123</v>
      </c>
      <c r="C96" s="280"/>
      <c r="D96" s="49">
        <f t="shared" si="111"/>
        <v>0</v>
      </c>
      <c r="E96" s="280"/>
      <c r="F96" s="49">
        <f t="shared" si="112"/>
        <v>0</v>
      </c>
      <c r="G96" s="280"/>
      <c r="H96" s="49">
        <f t="shared" si="113"/>
        <v>0</v>
      </c>
      <c r="I96" s="280"/>
      <c r="J96" s="49">
        <f t="shared" si="114"/>
        <v>0</v>
      </c>
      <c r="K96" s="280"/>
      <c r="L96" s="49">
        <f t="shared" si="115"/>
        <v>0</v>
      </c>
      <c r="M96" s="280"/>
      <c r="N96" s="49">
        <f t="shared" si="116"/>
        <v>0</v>
      </c>
      <c r="O96" s="280"/>
      <c r="P96" s="49">
        <f t="shared" si="117"/>
        <v>0</v>
      </c>
      <c r="Q96" s="280"/>
      <c r="R96" s="49">
        <f t="shared" si="118"/>
        <v>0</v>
      </c>
      <c r="S96" s="280"/>
      <c r="T96" s="49">
        <f t="shared" si="109"/>
        <v>0</v>
      </c>
      <c r="U96" s="280"/>
      <c r="V96" s="49">
        <f t="shared" si="119"/>
        <v>0</v>
      </c>
      <c r="W96" s="280"/>
      <c r="X96" s="49">
        <f t="shared" si="120"/>
        <v>0</v>
      </c>
      <c r="Y96" s="280"/>
      <c r="Z96" s="49">
        <f t="shared" si="110"/>
        <v>0</v>
      </c>
      <c r="AA96" s="320">
        <f t="shared" si="121"/>
        <v>0</v>
      </c>
      <c r="AB96" s="49">
        <f t="shared" si="122"/>
        <v>0</v>
      </c>
      <c r="AC96" s="124">
        <f t="shared" si="94"/>
        <v>0</v>
      </c>
      <c r="AD96" s="49">
        <f t="shared" si="123"/>
        <v>0</v>
      </c>
      <c r="AE96" s="214"/>
      <c r="AF96" s="54"/>
      <c r="AH96" s="21">
        <f t="shared" si="97"/>
        <v>0</v>
      </c>
    </row>
    <row r="97" spans="1:34" s="289" customFormat="1" ht="21.75" customHeight="1">
      <c r="A97" s="2">
        <v>6304</v>
      </c>
      <c r="B97" s="371" t="s">
        <v>38</v>
      </c>
      <c r="C97" s="348"/>
      <c r="D97" s="49">
        <f t="shared" si="111"/>
        <v>0</v>
      </c>
      <c r="E97" s="348"/>
      <c r="F97" s="49">
        <f t="shared" si="112"/>
        <v>0</v>
      </c>
      <c r="G97" s="348"/>
      <c r="H97" s="49">
        <f t="shared" si="113"/>
        <v>0</v>
      </c>
      <c r="I97" s="348"/>
      <c r="J97" s="49">
        <f t="shared" si="114"/>
        <v>0</v>
      </c>
      <c r="K97" s="348"/>
      <c r="L97" s="49">
        <f t="shared" si="115"/>
        <v>0</v>
      </c>
      <c r="M97" s="348"/>
      <c r="N97" s="49">
        <f t="shared" si="116"/>
        <v>0</v>
      </c>
      <c r="O97" s="348"/>
      <c r="P97" s="49">
        <f t="shared" si="117"/>
        <v>0</v>
      </c>
      <c r="Q97" s="348"/>
      <c r="R97" s="49">
        <f t="shared" si="118"/>
        <v>0</v>
      </c>
      <c r="S97" s="348"/>
      <c r="T97" s="49">
        <f t="shared" si="109"/>
        <v>0</v>
      </c>
      <c r="U97" s="348"/>
      <c r="V97" s="49">
        <f t="shared" si="119"/>
        <v>0</v>
      </c>
      <c r="W97" s="348"/>
      <c r="X97" s="49">
        <f t="shared" si="120"/>
        <v>0</v>
      </c>
      <c r="Y97" s="348"/>
      <c r="Z97" s="49">
        <f t="shared" si="110"/>
        <v>0</v>
      </c>
      <c r="AA97" s="320">
        <f t="shared" si="121"/>
        <v>0</v>
      </c>
      <c r="AB97" s="49">
        <f t="shared" si="122"/>
        <v>0</v>
      </c>
      <c r="AC97" s="124">
        <f t="shared" si="94"/>
        <v>0</v>
      </c>
      <c r="AD97" s="49">
        <f t="shared" si="123"/>
        <v>0</v>
      </c>
      <c r="AE97" s="214"/>
      <c r="AF97" s="54"/>
      <c r="AH97" s="21">
        <f t="shared" si="97"/>
        <v>0</v>
      </c>
    </row>
    <row r="98" spans="1:34" s="289" customFormat="1" ht="21.75" customHeight="1">
      <c r="A98" s="2">
        <v>6305</v>
      </c>
      <c r="B98" s="371" t="s">
        <v>39</v>
      </c>
      <c r="C98" s="280"/>
      <c r="D98" s="49">
        <f t="shared" si="111"/>
        <v>0</v>
      </c>
      <c r="E98" s="280"/>
      <c r="F98" s="49">
        <f t="shared" si="112"/>
        <v>0</v>
      </c>
      <c r="G98" s="280"/>
      <c r="H98" s="49">
        <f t="shared" si="113"/>
        <v>0</v>
      </c>
      <c r="I98" s="280"/>
      <c r="J98" s="49">
        <f t="shared" si="114"/>
        <v>0</v>
      </c>
      <c r="K98" s="280"/>
      <c r="L98" s="49">
        <f t="shared" si="115"/>
        <v>0</v>
      </c>
      <c r="M98" s="280"/>
      <c r="N98" s="49">
        <f t="shared" si="116"/>
        <v>0</v>
      </c>
      <c r="O98" s="280"/>
      <c r="P98" s="49">
        <f t="shared" si="117"/>
        <v>0</v>
      </c>
      <c r="Q98" s="280"/>
      <c r="R98" s="49">
        <f t="shared" si="118"/>
        <v>0</v>
      </c>
      <c r="S98" s="280"/>
      <c r="T98" s="49">
        <f t="shared" si="109"/>
        <v>0</v>
      </c>
      <c r="U98" s="280"/>
      <c r="V98" s="49">
        <f t="shared" si="119"/>
        <v>0</v>
      </c>
      <c r="W98" s="280"/>
      <c r="X98" s="49">
        <f t="shared" si="120"/>
        <v>0</v>
      </c>
      <c r="Y98" s="280"/>
      <c r="Z98" s="49">
        <f t="shared" si="110"/>
        <v>0</v>
      </c>
      <c r="AA98" s="320">
        <f t="shared" si="121"/>
        <v>0</v>
      </c>
      <c r="AB98" s="49">
        <f t="shared" si="122"/>
        <v>0</v>
      </c>
      <c r="AC98" s="124">
        <f t="shared" si="94"/>
        <v>0</v>
      </c>
      <c r="AD98" s="49">
        <f t="shared" si="123"/>
        <v>0</v>
      </c>
      <c r="AE98" s="214"/>
      <c r="AF98" s="54"/>
      <c r="AH98" s="21">
        <f t="shared" si="97"/>
        <v>0</v>
      </c>
    </row>
    <row r="99" spans="1:34" s="289" customFormat="1" ht="21.75" customHeight="1">
      <c r="A99" s="2">
        <v>6306</v>
      </c>
      <c r="B99" s="371" t="s">
        <v>40</v>
      </c>
      <c r="C99" s="280"/>
      <c r="D99" s="49">
        <f t="shared" si="111"/>
        <v>0</v>
      </c>
      <c r="E99" s="280"/>
      <c r="F99" s="49">
        <f t="shared" si="112"/>
        <v>0</v>
      </c>
      <c r="G99" s="280"/>
      <c r="H99" s="49">
        <f t="shared" si="113"/>
        <v>0</v>
      </c>
      <c r="I99" s="280"/>
      <c r="J99" s="49">
        <f t="shared" si="114"/>
        <v>0</v>
      </c>
      <c r="K99" s="280"/>
      <c r="L99" s="49">
        <f t="shared" si="115"/>
        <v>0</v>
      </c>
      <c r="M99" s="280"/>
      <c r="N99" s="49">
        <f t="shared" si="116"/>
        <v>0</v>
      </c>
      <c r="O99" s="280"/>
      <c r="P99" s="49">
        <f t="shared" si="117"/>
        <v>0</v>
      </c>
      <c r="Q99" s="280"/>
      <c r="R99" s="49">
        <f t="shared" si="118"/>
        <v>0</v>
      </c>
      <c r="S99" s="280"/>
      <c r="T99" s="49">
        <f t="shared" si="109"/>
        <v>0</v>
      </c>
      <c r="U99" s="280"/>
      <c r="V99" s="49">
        <f t="shared" si="119"/>
        <v>0</v>
      </c>
      <c r="W99" s="280"/>
      <c r="X99" s="49">
        <f t="shared" si="120"/>
        <v>0</v>
      </c>
      <c r="Y99" s="280"/>
      <c r="Z99" s="49">
        <f t="shared" si="110"/>
        <v>0</v>
      </c>
      <c r="AA99" s="320">
        <f t="shared" si="121"/>
        <v>0</v>
      </c>
      <c r="AB99" s="49">
        <f t="shared" si="122"/>
        <v>0</v>
      </c>
      <c r="AC99" s="124">
        <f t="shared" si="94"/>
        <v>0</v>
      </c>
      <c r="AD99" s="49">
        <f t="shared" si="123"/>
        <v>0</v>
      </c>
      <c r="AE99" s="214"/>
      <c r="AF99" s="54"/>
      <c r="AH99" s="21">
        <f t="shared" si="97"/>
        <v>0</v>
      </c>
    </row>
    <row r="100" spans="1:34" s="289" customFormat="1" ht="21.75" customHeight="1">
      <c r="A100" s="2">
        <v>6307</v>
      </c>
      <c r="B100" s="371" t="s">
        <v>240</v>
      </c>
      <c r="C100" s="280"/>
      <c r="D100" s="49">
        <f t="shared" si="111"/>
        <v>0</v>
      </c>
      <c r="E100" s="280">
        <v>56.58</v>
      </c>
      <c r="F100" s="49">
        <f t="shared" si="112"/>
        <v>5.4336161052198596E-4</v>
      </c>
      <c r="G100" s="280">
        <v>56.58</v>
      </c>
      <c r="H100" s="49">
        <f t="shared" si="113"/>
        <v>3.2756748839948526E-4</v>
      </c>
      <c r="I100" s="280">
        <v>179.73</v>
      </c>
      <c r="J100" s="49">
        <f t="shared" si="114"/>
        <v>1.1784211773266152E-3</v>
      </c>
      <c r="K100" s="280">
        <v>56.58</v>
      </c>
      <c r="L100" s="49">
        <f t="shared" si="115"/>
        <v>4.0561202511006487E-4</v>
      </c>
      <c r="M100" s="280"/>
      <c r="N100" s="49">
        <f t="shared" si="116"/>
        <v>0</v>
      </c>
      <c r="O100" s="280">
        <v>56.58</v>
      </c>
      <c r="P100" s="49">
        <f t="shared" si="117"/>
        <v>4.5181360144005224E-4</v>
      </c>
      <c r="Q100" s="280">
        <v>56.58</v>
      </c>
      <c r="R100" s="49">
        <f t="shared" si="118"/>
        <v>3.6385551815114179E-4</v>
      </c>
      <c r="S100" s="280">
        <v>56.58</v>
      </c>
      <c r="T100" s="49">
        <f t="shared" si="109"/>
        <v>3.6119019608426878E-4</v>
      </c>
      <c r="U100" s="280">
        <v>56.58</v>
      </c>
      <c r="V100" s="49">
        <f t="shared" si="119"/>
        <v>4.5535454230127999E-4</v>
      </c>
      <c r="W100" s="280">
        <v>56.58</v>
      </c>
      <c r="X100" s="49">
        <f t="shared" si="120"/>
        <v>4.4754861009619598E-4</v>
      </c>
      <c r="Y100" s="280">
        <v>56.58</v>
      </c>
      <c r="Z100" s="49">
        <f t="shared" si="110"/>
        <v>2.9625963383269553E-4</v>
      </c>
      <c r="AA100" s="320">
        <f t="shared" si="121"/>
        <v>688.95</v>
      </c>
      <c r="AB100" s="49">
        <f>AA100/AA$12</f>
        <v>3.8714941058377519E-4</v>
      </c>
      <c r="AC100" s="124">
        <f t="shared" si="94"/>
        <v>57.412500000000001</v>
      </c>
      <c r="AD100" s="49">
        <f>AC100/AC$12</f>
        <v>3.8714941058377519E-4</v>
      </c>
      <c r="AE100" s="214"/>
      <c r="AF100" s="54"/>
      <c r="AH100" s="21"/>
    </row>
    <row r="101" spans="1:34" s="289" customFormat="1" ht="21.75" customHeight="1">
      <c r="A101" s="2">
        <v>6308</v>
      </c>
      <c r="B101" s="371" t="s">
        <v>142</v>
      </c>
      <c r="C101" s="280"/>
      <c r="D101" s="49">
        <f t="shared" si="111"/>
        <v>0</v>
      </c>
      <c r="E101" s="280"/>
      <c r="F101" s="49">
        <f t="shared" si="112"/>
        <v>0</v>
      </c>
      <c r="G101" s="280"/>
      <c r="H101" s="49">
        <f t="shared" si="113"/>
        <v>0</v>
      </c>
      <c r="I101" s="280"/>
      <c r="J101" s="49">
        <f t="shared" si="114"/>
        <v>0</v>
      </c>
      <c r="K101" s="280"/>
      <c r="L101" s="49">
        <f t="shared" si="115"/>
        <v>0</v>
      </c>
      <c r="M101" s="280"/>
      <c r="N101" s="49">
        <f t="shared" si="116"/>
        <v>0</v>
      </c>
      <c r="O101" s="280"/>
      <c r="P101" s="49">
        <f t="shared" si="117"/>
        <v>0</v>
      </c>
      <c r="Q101" s="280"/>
      <c r="R101" s="49">
        <f t="shared" si="118"/>
        <v>0</v>
      </c>
      <c r="S101" s="280"/>
      <c r="T101" s="49">
        <f t="shared" si="109"/>
        <v>0</v>
      </c>
      <c r="U101" s="280"/>
      <c r="V101" s="49">
        <f t="shared" si="119"/>
        <v>0</v>
      </c>
      <c r="W101" s="280"/>
      <c r="X101" s="49">
        <f t="shared" si="120"/>
        <v>0</v>
      </c>
      <c r="Y101" s="280"/>
      <c r="Z101" s="49">
        <f t="shared" si="110"/>
        <v>0</v>
      </c>
      <c r="AA101" s="320">
        <f t="shared" si="121"/>
        <v>0</v>
      </c>
      <c r="AB101" s="49">
        <f>AA101/AA$12</f>
        <v>0</v>
      </c>
      <c r="AC101" s="124">
        <f t="shared" si="94"/>
        <v>0</v>
      </c>
      <c r="AD101" s="49">
        <f>AC101/AC$12</f>
        <v>0</v>
      </c>
      <c r="AE101" s="214"/>
      <c r="AF101" s="54"/>
      <c r="AH101" s="21">
        <f t="shared" si="97"/>
        <v>0</v>
      </c>
    </row>
    <row r="102" spans="1:34" s="289" customFormat="1" ht="21.75" customHeight="1">
      <c r="A102" s="2">
        <v>6309</v>
      </c>
      <c r="B102" s="371" t="s">
        <v>143</v>
      </c>
      <c r="C102" s="280">
        <v>188.80162794900002</v>
      </c>
      <c r="D102" s="49">
        <f t="shared" si="111"/>
        <v>1.4106306536737349E-3</v>
      </c>
      <c r="E102" s="280">
        <v>190.68964422849001</v>
      </c>
      <c r="F102" s="49">
        <f t="shared" si="112"/>
        <v>1.831273103532288E-3</v>
      </c>
      <c r="G102" s="280">
        <v>96.298270335387471</v>
      </c>
      <c r="H102" s="49">
        <f t="shared" si="113"/>
        <v>5.57514714580727E-4</v>
      </c>
      <c r="I102" s="280">
        <v>101.14421753692018</v>
      </c>
      <c r="J102" s="49">
        <f t="shared" si="114"/>
        <v>6.6316412346095126E-4</v>
      </c>
      <c r="K102" s="280">
        <v>210.68779250325755</v>
      </c>
      <c r="L102" s="49">
        <f t="shared" si="115"/>
        <v>1.5103835663346666E-3</v>
      </c>
      <c r="M102" s="280">
        <v>107.80952783832413</v>
      </c>
      <c r="N102" s="49">
        <f t="shared" si="116"/>
        <v>5.4504584396138653E-4</v>
      </c>
      <c r="O102" s="280">
        <v>115.58607867317811</v>
      </c>
      <c r="P102" s="49">
        <f t="shared" si="117"/>
        <v>9.2300039734290944E-4</v>
      </c>
      <c r="Q102" s="280">
        <v>120.37017179511379</v>
      </c>
      <c r="R102" s="49">
        <f t="shared" si="118"/>
        <v>7.740783179295349E-4</v>
      </c>
      <c r="S102" s="280">
        <v>252.1044310417092</v>
      </c>
      <c r="T102" s="49">
        <f t="shared" si="109"/>
        <v>1.6093610618887939E-3</v>
      </c>
      <c r="U102" s="280">
        <v>260.56777545001984</v>
      </c>
      <c r="V102" s="49">
        <f t="shared" si="119"/>
        <v>2.0970434805321048E-3</v>
      </c>
      <c r="W102" s="280">
        <v>136.84006821430589</v>
      </c>
      <c r="X102" s="49">
        <f t="shared" si="120"/>
        <v>1.0824068988119697E-3</v>
      </c>
      <c r="Y102" s="280">
        <v>143.72617056392389</v>
      </c>
      <c r="Z102" s="49">
        <f t="shared" si="110"/>
        <v>7.5256738535602042E-4</v>
      </c>
      <c r="AA102" s="320">
        <f t="shared" si="121"/>
        <v>1924.6257761296299</v>
      </c>
      <c r="AB102" s="49">
        <f>AA102/AA$12</f>
        <v>1.0815265764176313E-3</v>
      </c>
      <c r="AC102" s="124">
        <f t="shared" si="94"/>
        <v>160.38548134413583</v>
      </c>
      <c r="AD102" s="49">
        <f>AC102/AC$12</f>
        <v>1.0815265764176313E-3</v>
      </c>
      <c r="AE102" s="214"/>
      <c r="AF102" s="54"/>
      <c r="AH102" s="21">
        <f t="shared" si="97"/>
        <v>612.68417443712917</v>
      </c>
    </row>
    <row r="103" spans="1:34" s="289" customFormat="1" ht="21.75" customHeight="1">
      <c r="A103" s="2">
        <v>6310</v>
      </c>
      <c r="B103" s="371" t="s">
        <v>144</v>
      </c>
      <c r="C103" s="280"/>
      <c r="D103" s="49">
        <f t="shared" si="111"/>
        <v>0</v>
      </c>
      <c r="E103" s="280"/>
      <c r="F103" s="49">
        <f t="shared" si="112"/>
        <v>0</v>
      </c>
      <c r="G103" s="280"/>
      <c r="H103" s="49">
        <f t="shared" si="113"/>
        <v>0</v>
      </c>
      <c r="I103" s="280"/>
      <c r="J103" s="49">
        <f t="shared" si="114"/>
        <v>0</v>
      </c>
      <c r="K103" s="280"/>
      <c r="L103" s="49">
        <f t="shared" si="115"/>
        <v>0</v>
      </c>
      <c r="M103" s="280"/>
      <c r="N103" s="49">
        <f t="shared" si="116"/>
        <v>0</v>
      </c>
      <c r="O103" s="280"/>
      <c r="P103" s="49">
        <f t="shared" si="117"/>
        <v>0</v>
      </c>
      <c r="Q103" s="280"/>
      <c r="R103" s="49">
        <f t="shared" si="118"/>
        <v>0</v>
      </c>
      <c r="S103" s="280"/>
      <c r="T103" s="49">
        <f t="shared" si="109"/>
        <v>0</v>
      </c>
      <c r="U103" s="280"/>
      <c r="V103" s="49">
        <f t="shared" si="119"/>
        <v>0</v>
      </c>
      <c r="W103" s="280"/>
      <c r="X103" s="49">
        <f t="shared" si="120"/>
        <v>0</v>
      </c>
      <c r="Y103" s="280"/>
      <c r="Z103" s="49">
        <f t="shared" si="110"/>
        <v>0</v>
      </c>
      <c r="AA103" s="320">
        <f t="shared" si="121"/>
        <v>0</v>
      </c>
      <c r="AB103" s="49">
        <f t="shared" ref="AB103:AB114" si="124">AA103/AA$12</f>
        <v>0</v>
      </c>
      <c r="AC103" s="124">
        <f t="shared" si="94"/>
        <v>0</v>
      </c>
      <c r="AD103" s="49">
        <f t="shared" ref="AD103:AD114" si="125">AC103/AC$12</f>
        <v>0</v>
      </c>
      <c r="AE103" s="214"/>
      <c r="AF103" s="54"/>
      <c r="AH103" s="21">
        <f t="shared" si="97"/>
        <v>0</v>
      </c>
    </row>
    <row r="104" spans="1:34" s="289" customFormat="1" ht="21.75" customHeight="1">
      <c r="A104" s="2">
        <v>6311</v>
      </c>
      <c r="B104" s="371" t="s">
        <v>145</v>
      </c>
      <c r="C104" s="280">
        <v>1178.7819253438113</v>
      </c>
      <c r="D104" s="49">
        <f t="shared" si="111"/>
        <v>8.8072647251521297E-3</v>
      </c>
      <c r="E104" s="280"/>
      <c r="F104" s="49">
        <f t="shared" si="112"/>
        <v>0</v>
      </c>
      <c r="G104" s="280"/>
      <c r="H104" s="49">
        <f t="shared" si="113"/>
        <v>0</v>
      </c>
      <c r="I104" s="280"/>
      <c r="J104" s="49">
        <f t="shared" si="114"/>
        <v>0</v>
      </c>
      <c r="K104" s="280"/>
      <c r="L104" s="49">
        <f t="shared" si="115"/>
        <v>0</v>
      </c>
      <c r="M104" s="280"/>
      <c r="N104" s="49">
        <f t="shared" si="116"/>
        <v>0</v>
      </c>
      <c r="O104" s="280"/>
      <c r="P104" s="49">
        <f t="shared" si="117"/>
        <v>0</v>
      </c>
      <c r="Q104" s="280"/>
      <c r="R104" s="49">
        <f t="shared" si="118"/>
        <v>0</v>
      </c>
      <c r="S104" s="280"/>
      <c r="T104" s="49">
        <f t="shared" si="109"/>
        <v>0</v>
      </c>
      <c r="U104" s="280"/>
      <c r="V104" s="49">
        <f t="shared" si="119"/>
        <v>0</v>
      </c>
      <c r="W104" s="280"/>
      <c r="X104" s="49">
        <f t="shared" si="120"/>
        <v>0</v>
      </c>
      <c r="Y104" s="280"/>
      <c r="Z104" s="49">
        <f t="shared" si="110"/>
        <v>0</v>
      </c>
      <c r="AA104" s="320">
        <f t="shared" si="121"/>
        <v>1178.7819253438113</v>
      </c>
      <c r="AB104" s="49">
        <f t="shared" si="124"/>
        <v>6.6240616532936233E-4</v>
      </c>
      <c r="AC104" s="124">
        <f t="shared" si="94"/>
        <v>98.231827111984273</v>
      </c>
      <c r="AD104" s="49">
        <f t="shared" si="125"/>
        <v>6.6240616532936244E-4</v>
      </c>
      <c r="AE104" s="214"/>
      <c r="AF104" s="54"/>
      <c r="AH104" s="21">
        <f t="shared" si="97"/>
        <v>0</v>
      </c>
    </row>
    <row r="105" spans="1:34" s="289" customFormat="1" ht="21.75" customHeight="1">
      <c r="A105" s="2">
        <v>6312</v>
      </c>
      <c r="B105" s="371" t="s">
        <v>146</v>
      </c>
      <c r="C105" s="280"/>
      <c r="D105" s="49">
        <f t="shared" si="111"/>
        <v>0</v>
      </c>
      <c r="E105" s="280"/>
      <c r="F105" s="49">
        <f t="shared" si="112"/>
        <v>0</v>
      </c>
      <c r="G105" s="280"/>
      <c r="H105" s="49">
        <f t="shared" si="113"/>
        <v>0</v>
      </c>
      <c r="I105" s="280"/>
      <c r="J105" s="49">
        <f t="shared" si="114"/>
        <v>0</v>
      </c>
      <c r="K105" s="280"/>
      <c r="L105" s="49">
        <f t="shared" si="115"/>
        <v>0</v>
      </c>
      <c r="M105" s="280"/>
      <c r="N105" s="49">
        <f t="shared" si="116"/>
        <v>0</v>
      </c>
      <c r="O105" s="280"/>
      <c r="P105" s="49">
        <f t="shared" si="117"/>
        <v>0</v>
      </c>
      <c r="Q105" s="280"/>
      <c r="R105" s="49">
        <f t="shared" si="118"/>
        <v>0</v>
      </c>
      <c r="S105" s="280"/>
      <c r="T105" s="49">
        <f t="shared" si="109"/>
        <v>0</v>
      </c>
      <c r="U105" s="280"/>
      <c r="V105" s="49">
        <f t="shared" si="119"/>
        <v>0</v>
      </c>
      <c r="W105" s="280"/>
      <c r="X105" s="49">
        <f t="shared" si="120"/>
        <v>0</v>
      </c>
      <c r="Y105" s="280"/>
      <c r="Z105" s="49">
        <f t="shared" si="110"/>
        <v>0</v>
      </c>
      <c r="AA105" s="320">
        <f t="shared" si="121"/>
        <v>0</v>
      </c>
      <c r="AB105" s="49">
        <f t="shared" si="124"/>
        <v>0</v>
      </c>
      <c r="AC105" s="124">
        <f t="shared" si="94"/>
        <v>0</v>
      </c>
      <c r="AD105" s="49">
        <f t="shared" si="125"/>
        <v>0</v>
      </c>
      <c r="AE105" s="214"/>
      <c r="AF105" s="54"/>
      <c r="AH105" s="21">
        <f t="shared" si="97"/>
        <v>0</v>
      </c>
    </row>
    <row r="106" spans="1:34" s="289" customFormat="1" ht="21.75" customHeight="1">
      <c r="A106" s="2">
        <v>6313</v>
      </c>
      <c r="B106" s="371" t="s">
        <v>147</v>
      </c>
      <c r="C106" s="280"/>
      <c r="D106" s="49">
        <f t="shared" si="111"/>
        <v>0</v>
      </c>
      <c r="E106" s="280"/>
      <c r="F106" s="49">
        <f t="shared" si="112"/>
        <v>0</v>
      </c>
      <c r="G106" s="280">
        <v>334.88122879085552</v>
      </c>
      <c r="H106" s="49">
        <f t="shared" si="113"/>
        <v>1.9387805413070684E-3</v>
      </c>
      <c r="I106" s="280"/>
      <c r="J106" s="49">
        <f t="shared" si="114"/>
        <v>0</v>
      </c>
      <c r="K106" s="280">
        <v>334.88122879085552</v>
      </c>
      <c r="L106" s="49">
        <f t="shared" si="115"/>
        <v>2.4007043722376435E-3</v>
      </c>
      <c r="M106" s="280"/>
      <c r="N106" s="49">
        <f t="shared" si="116"/>
        <v>0</v>
      </c>
      <c r="O106" s="280"/>
      <c r="P106" s="49">
        <f t="shared" si="117"/>
        <v>0</v>
      </c>
      <c r="Q106" s="280">
        <v>334.88122879085552</v>
      </c>
      <c r="R106" s="49">
        <f t="shared" si="118"/>
        <v>2.1535592615904526E-3</v>
      </c>
      <c r="S106" s="280"/>
      <c r="T106" s="49">
        <f t="shared" si="109"/>
        <v>0</v>
      </c>
      <c r="U106" s="280"/>
      <c r="V106" s="49">
        <f t="shared" si="119"/>
        <v>0</v>
      </c>
      <c r="W106" s="280"/>
      <c r="X106" s="49">
        <f t="shared" si="120"/>
        <v>0</v>
      </c>
      <c r="Y106" s="280">
        <v>334.88122879085552</v>
      </c>
      <c r="Z106" s="585">
        <f t="shared" si="110"/>
        <v>1.7534780879996819E-3</v>
      </c>
      <c r="AA106" s="320">
        <f t="shared" si="121"/>
        <v>1339.5249151634221</v>
      </c>
      <c r="AB106" s="49">
        <f t="shared" si="124"/>
        <v>7.5273427878336642E-4</v>
      </c>
      <c r="AC106" s="124">
        <f t="shared" si="94"/>
        <v>111.62707626361851</v>
      </c>
      <c r="AD106" s="49">
        <f t="shared" si="125"/>
        <v>7.5273427878336642E-4</v>
      </c>
      <c r="AE106" s="214"/>
      <c r="AF106" s="54"/>
      <c r="AH106" s="21">
        <f t="shared" si="97"/>
        <v>1704.5454545454545</v>
      </c>
    </row>
    <row r="107" spans="1:34" s="289" customFormat="1" ht="21.75" customHeight="1">
      <c r="A107" s="2">
        <v>6314</v>
      </c>
      <c r="B107" s="371" t="s">
        <v>211</v>
      </c>
      <c r="C107" s="280">
        <v>387.51</v>
      </c>
      <c r="D107" s="49">
        <f t="shared" si="111"/>
        <v>2.895279508674407E-3</v>
      </c>
      <c r="E107" s="280">
        <v>75</v>
      </c>
      <c r="F107" s="49">
        <f t="shared" si="112"/>
        <v>7.2025664173115851E-4</v>
      </c>
      <c r="G107" s="280">
        <v>387.51</v>
      </c>
      <c r="H107" s="49">
        <f t="shared" si="113"/>
        <v>2.243472559732848E-3</v>
      </c>
      <c r="I107" s="280"/>
      <c r="J107" s="49">
        <f t="shared" si="114"/>
        <v>0</v>
      </c>
      <c r="K107" s="280">
        <v>462.51</v>
      </c>
      <c r="L107" s="49">
        <f t="shared" si="115"/>
        <v>3.3156524873392736E-3</v>
      </c>
      <c r="M107" s="280">
        <v>387.51</v>
      </c>
      <c r="N107" s="49">
        <f t="shared" si="116"/>
        <v>1.9591099156859096E-3</v>
      </c>
      <c r="O107" s="280">
        <v>387.51</v>
      </c>
      <c r="P107" s="49">
        <f t="shared" si="117"/>
        <v>3.0944200900324256E-3</v>
      </c>
      <c r="Q107" s="280"/>
      <c r="R107" s="49">
        <f t="shared" si="118"/>
        <v>0</v>
      </c>
      <c r="S107" s="280">
        <v>462.51</v>
      </c>
      <c r="T107" s="49">
        <f t="shared" si="109"/>
        <v>2.9525287661883201E-3</v>
      </c>
      <c r="U107" s="280">
        <v>75</v>
      </c>
      <c r="V107" s="49">
        <f t="shared" si="119"/>
        <v>6.0359827982672321E-4</v>
      </c>
      <c r="W107" s="280">
        <v>462.51</v>
      </c>
      <c r="X107" s="49">
        <f t="shared" si="120"/>
        <v>3.6584607220853942E-3</v>
      </c>
      <c r="Y107" s="280"/>
      <c r="Z107" s="49">
        <f t="shared" si="110"/>
        <v>0</v>
      </c>
      <c r="AA107" s="320">
        <f t="shared" si="121"/>
        <v>3087.5700000000006</v>
      </c>
      <c r="AB107" s="49">
        <f t="shared" si="124"/>
        <v>1.7350328842966063E-3</v>
      </c>
      <c r="AC107" s="124">
        <f t="shared" si="94"/>
        <v>257.29750000000007</v>
      </c>
      <c r="AD107" s="49">
        <f t="shared" si="125"/>
        <v>1.7350328842966067E-3</v>
      </c>
      <c r="AE107" s="214"/>
      <c r="AF107" s="54"/>
      <c r="AH107" s="21">
        <f t="shared" si="97"/>
        <v>0</v>
      </c>
    </row>
    <row r="108" spans="1:34" s="289" customFormat="1" ht="21.75" customHeight="1">
      <c r="A108" s="2">
        <v>6315</v>
      </c>
      <c r="B108" s="371" t="s">
        <v>241</v>
      </c>
      <c r="C108" s="280"/>
      <c r="D108" s="49">
        <f t="shared" si="111"/>
        <v>0</v>
      </c>
      <c r="E108" s="280">
        <v>525.75</v>
      </c>
      <c r="F108" s="49">
        <f t="shared" si="112"/>
        <v>5.0489990585354215E-3</v>
      </c>
      <c r="G108" s="280">
        <v>675.75</v>
      </c>
      <c r="H108" s="49">
        <f t="shared" si="113"/>
        <v>3.9122257031804905E-3</v>
      </c>
      <c r="I108" s="280">
        <v>525.75</v>
      </c>
      <c r="J108" s="49">
        <f t="shared" si="114"/>
        <v>3.4471425692954318E-3</v>
      </c>
      <c r="K108" s="280">
        <v>150</v>
      </c>
      <c r="L108" s="49">
        <f t="shared" si="115"/>
        <v>1.0753235024126852E-3</v>
      </c>
      <c r="M108" s="280"/>
      <c r="N108" s="49">
        <f t="shared" si="116"/>
        <v>0</v>
      </c>
      <c r="O108" s="280">
        <v>100</v>
      </c>
      <c r="P108" s="49">
        <f t="shared" si="117"/>
        <v>7.9853941576538037E-4</v>
      </c>
      <c r="Q108" s="280">
        <v>150</v>
      </c>
      <c r="R108" s="49">
        <f t="shared" si="118"/>
        <v>9.6462226445159554E-4</v>
      </c>
      <c r="S108" s="280"/>
      <c r="T108" s="49">
        <f t="shared" si="109"/>
        <v>0</v>
      </c>
      <c r="U108" s="280">
        <v>100</v>
      </c>
      <c r="V108" s="49">
        <f t="shared" si="119"/>
        <v>8.0479770643563091E-4</v>
      </c>
      <c r="W108" s="280"/>
      <c r="X108" s="49">
        <f t="shared" si="120"/>
        <v>0</v>
      </c>
      <c r="Y108" s="280">
        <v>150</v>
      </c>
      <c r="Z108" s="49">
        <f t="shared" si="110"/>
        <v>7.8541790517681746E-4</v>
      </c>
      <c r="AA108" s="320">
        <f t="shared" si="121"/>
        <v>2377.25</v>
      </c>
      <c r="AB108" s="49">
        <f t="shared" si="124"/>
        <v>1.3358747896222941E-3</v>
      </c>
      <c r="AC108" s="124">
        <f t="shared" si="94"/>
        <v>198.10416666666666</v>
      </c>
      <c r="AD108" s="49">
        <f t="shared" si="125"/>
        <v>1.3358747896222941E-3</v>
      </c>
      <c r="AE108" s="214"/>
      <c r="AF108" s="54"/>
      <c r="AH108" s="21"/>
    </row>
    <row r="109" spans="1:34" s="289" customFormat="1" ht="21.75" customHeight="1">
      <c r="A109" s="2">
        <v>6316</v>
      </c>
      <c r="B109" s="371" t="s">
        <v>242</v>
      </c>
      <c r="C109" s="280"/>
      <c r="D109" s="49">
        <f t="shared" si="111"/>
        <v>0</v>
      </c>
      <c r="E109" s="280">
        <v>854.11</v>
      </c>
      <c r="F109" s="49">
        <f t="shared" si="112"/>
        <v>8.20237867025333E-3</v>
      </c>
      <c r="G109" s="280"/>
      <c r="H109" s="49">
        <f t="shared" si="113"/>
        <v>0</v>
      </c>
      <c r="I109" s="280"/>
      <c r="J109" s="49">
        <f t="shared" si="114"/>
        <v>0</v>
      </c>
      <c r="K109" s="280">
        <v>854.11</v>
      </c>
      <c r="L109" s="49">
        <f t="shared" si="115"/>
        <v>6.1229637109713238E-3</v>
      </c>
      <c r="M109" s="280">
        <f>(9416.5/5.09)/3</f>
        <v>616.66666666666663</v>
      </c>
      <c r="N109" s="49">
        <f t="shared" si="116"/>
        <v>3.1176428513835621E-3</v>
      </c>
      <c r="O109" s="280"/>
      <c r="P109" s="49">
        <f t="shared" si="117"/>
        <v>0</v>
      </c>
      <c r="Q109" s="280">
        <v>854.11</v>
      </c>
      <c r="R109" s="49">
        <f t="shared" si="118"/>
        <v>5.492623481938348E-3</v>
      </c>
      <c r="S109" s="280">
        <v>616.66666666666663</v>
      </c>
      <c r="T109" s="49">
        <f t="shared" si="109"/>
        <v>3.9366199054783621E-3</v>
      </c>
      <c r="U109" s="280">
        <v>622.5</v>
      </c>
      <c r="V109" s="49">
        <f t="shared" si="119"/>
        <v>5.0098657225618026E-3</v>
      </c>
      <c r="W109" s="280"/>
      <c r="X109" s="49">
        <f t="shared" si="120"/>
        <v>0</v>
      </c>
      <c r="Y109" s="280"/>
      <c r="Z109" s="49">
        <f t="shared" si="110"/>
        <v>0</v>
      </c>
      <c r="AA109" s="320">
        <f t="shared" si="121"/>
        <v>4418.1633333333339</v>
      </c>
      <c r="AB109" s="49">
        <f t="shared" si="124"/>
        <v>2.4827481389982546E-3</v>
      </c>
      <c r="AC109" s="124">
        <f t="shared" si="94"/>
        <v>368.1802777777778</v>
      </c>
      <c r="AD109" s="49">
        <f t="shared" si="125"/>
        <v>2.4827481389982546E-3</v>
      </c>
      <c r="AE109" s="214"/>
      <c r="AF109" s="54"/>
      <c r="AH109" s="21"/>
    </row>
    <row r="110" spans="1:34" s="289" customFormat="1" ht="21.75" customHeight="1">
      <c r="A110" s="2">
        <v>6317</v>
      </c>
      <c r="B110" s="371" t="s">
        <v>243</v>
      </c>
      <c r="C110" s="280"/>
      <c r="D110" s="49">
        <f t="shared" si="111"/>
        <v>0</v>
      </c>
      <c r="E110" s="280">
        <v>812.5</v>
      </c>
      <c r="F110" s="49">
        <f t="shared" si="112"/>
        <v>7.8027802854208836E-3</v>
      </c>
      <c r="G110" s="280"/>
      <c r="H110" s="49">
        <f t="shared" si="113"/>
        <v>0</v>
      </c>
      <c r="I110" s="280">
        <v>3940.5</v>
      </c>
      <c r="J110" s="49">
        <f t="shared" si="114"/>
        <v>2.583635814419144E-2</v>
      </c>
      <c r="K110" s="280">
        <v>950.5</v>
      </c>
      <c r="L110" s="49">
        <f t="shared" si="115"/>
        <v>6.8139665936217154E-3</v>
      </c>
      <c r="M110" s="280"/>
      <c r="N110" s="49">
        <f t="shared" si="116"/>
        <v>0</v>
      </c>
      <c r="O110" s="280"/>
      <c r="P110" s="49">
        <f t="shared" si="117"/>
        <v>0</v>
      </c>
      <c r="Q110" s="280">
        <v>2739</v>
      </c>
      <c r="R110" s="49">
        <f t="shared" si="118"/>
        <v>1.7614002548886135E-2</v>
      </c>
      <c r="S110" s="280"/>
      <c r="T110" s="49">
        <f t="shared" si="109"/>
        <v>0</v>
      </c>
      <c r="U110" s="280">
        <v>812.5</v>
      </c>
      <c r="V110" s="49">
        <f t="shared" si="119"/>
        <v>6.5389813647895017E-3</v>
      </c>
      <c r="W110" s="280"/>
      <c r="X110" s="49">
        <f t="shared" si="120"/>
        <v>0</v>
      </c>
      <c r="Y110" s="280"/>
      <c r="Z110" s="49">
        <f t="shared" si="110"/>
        <v>0</v>
      </c>
      <c r="AA110" s="320">
        <f t="shared" si="121"/>
        <v>9255</v>
      </c>
      <c r="AB110" s="49">
        <f t="shared" si="124"/>
        <v>5.2007660860045567E-3</v>
      </c>
      <c r="AC110" s="124">
        <f t="shared" si="94"/>
        <v>771.25</v>
      </c>
      <c r="AD110" s="49">
        <f t="shared" si="125"/>
        <v>5.2007660860045567E-3</v>
      </c>
      <c r="AE110" s="214"/>
      <c r="AF110" s="54"/>
      <c r="AH110" s="21"/>
    </row>
    <row r="111" spans="1:34" s="289" customFormat="1" ht="21.75" customHeight="1">
      <c r="A111" s="2">
        <v>6318</v>
      </c>
      <c r="B111" s="371" t="s">
        <v>244</v>
      </c>
      <c r="C111" s="280"/>
      <c r="D111" s="49">
        <f t="shared" si="111"/>
        <v>0</v>
      </c>
      <c r="E111" s="280"/>
      <c r="F111" s="49">
        <f t="shared" si="112"/>
        <v>0</v>
      </c>
      <c r="G111" s="280"/>
      <c r="H111" s="49">
        <f t="shared" si="113"/>
        <v>0</v>
      </c>
      <c r="I111" s="280"/>
      <c r="J111" s="49">
        <f t="shared" si="114"/>
        <v>0</v>
      </c>
      <c r="K111" s="280"/>
      <c r="L111" s="49">
        <f t="shared" si="115"/>
        <v>0</v>
      </c>
      <c r="M111" s="280"/>
      <c r="N111" s="49">
        <f t="shared" si="116"/>
        <v>0</v>
      </c>
      <c r="O111" s="280"/>
      <c r="P111" s="49">
        <f t="shared" si="117"/>
        <v>0</v>
      </c>
      <c r="Q111" s="280"/>
      <c r="R111" s="49">
        <f t="shared" si="118"/>
        <v>0</v>
      </c>
      <c r="S111" s="280"/>
      <c r="T111" s="49">
        <f t="shared" si="109"/>
        <v>0</v>
      </c>
      <c r="U111" s="280"/>
      <c r="V111" s="49">
        <f t="shared" si="119"/>
        <v>0</v>
      </c>
      <c r="W111" s="280"/>
      <c r="X111" s="49">
        <f t="shared" si="120"/>
        <v>0</v>
      </c>
      <c r="Y111" s="280"/>
      <c r="Z111" s="49">
        <f t="shared" si="110"/>
        <v>0</v>
      </c>
      <c r="AA111" s="320">
        <f t="shared" si="121"/>
        <v>0</v>
      </c>
      <c r="AB111" s="49">
        <f t="shared" si="124"/>
        <v>0</v>
      </c>
      <c r="AC111" s="124">
        <f t="shared" si="94"/>
        <v>0</v>
      </c>
      <c r="AD111" s="49">
        <f t="shared" si="125"/>
        <v>0</v>
      </c>
      <c r="AE111" s="214"/>
      <c r="AF111" s="54"/>
      <c r="AH111" s="21"/>
    </row>
    <row r="112" spans="1:34" s="289" customFormat="1" ht="21.75" customHeight="1">
      <c r="A112" s="2">
        <v>6319</v>
      </c>
      <c r="B112" s="371" t="s">
        <v>245</v>
      </c>
      <c r="C112" s="280"/>
      <c r="D112" s="49">
        <f t="shared" si="111"/>
        <v>0</v>
      </c>
      <c r="E112" s="280">
        <v>1081.2</v>
      </c>
      <c r="F112" s="49">
        <f t="shared" si="112"/>
        <v>1.0383219747196382E-2</v>
      </c>
      <c r="G112" s="280">
        <v>1081.2</v>
      </c>
      <c r="H112" s="49">
        <f t="shared" si="113"/>
        <v>6.2595611250887851E-3</v>
      </c>
      <c r="I112" s="280">
        <v>1081.2</v>
      </c>
      <c r="J112" s="49">
        <f t="shared" si="114"/>
        <v>7.0890167302372249E-3</v>
      </c>
      <c r="K112" s="280">
        <v>1081.2</v>
      </c>
      <c r="L112" s="49">
        <f t="shared" si="115"/>
        <v>7.7509318053906352E-3</v>
      </c>
      <c r="M112" s="280"/>
      <c r="N112" s="49">
        <f t="shared" si="116"/>
        <v>0</v>
      </c>
      <c r="O112" s="280">
        <v>1081.2</v>
      </c>
      <c r="P112" s="49">
        <f t="shared" si="117"/>
        <v>8.6338081632552927E-3</v>
      </c>
      <c r="Q112" s="280">
        <v>1081.2</v>
      </c>
      <c r="R112" s="49">
        <f t="shared" si="118"/>
        <v>6.9529972821671011E-3</v>
      </c>
      <c r="S112" s="280">
        <v>1081.2</v>
      </c>
      <c r="T112" s="49">
        <f t="shared" si="109"/>
        <v>6.9020650407619552E-3</v>
      </c>
      <c r="U112" s="280">
        <v>1081.2</v>
      </c>
      <c r="V112" s="49">
        <f t="shared" si="119"/>
        <v>8.7014728019820416E-3</v>
      </c>
      <c r="W112" s="280">
        <v>1081.2</v>
      </c>
      <c r="X112" s="49">
        <f t="shared" si="120"/>
        <v>8.5523074803111904E-3</v>
      </c>
      <c r="Y112" s="280">
        <v>1081.2</v>
      </c>
      <c r="Z112" s="585">
        <f t="shared" si="110"/>
        <v>5.6612922605145007E-3</v>
      </c>
      <c r="AA112" s="320">
        <f t="shared" si="121"/>
        <v>10812.000000000002</v>
      </c>
      <c r="AB112" s="49">
        <f t="shared" si="124"/>
        <v>6.0757085815106729E-3</v>
      </c>
      <c r="AC112" s="124">
        <f t="shared" si="94"/>
        <v>901.00000000000011</v>
      </c>
      <c r="AD112" s="49">
        <f t="shared" si="125"/>
        <v>6.0757085815106729E-3</v>
      </c>
      <c r="AE112" s="214"/>
      <c r="AF112" s="54"/>
      <c r="AH112" s="21"/>
    </row>
    <row r="113" spans="1:34" s="289" customFormat="1" ht="21.75" customHeight="1">
      <c r="A113" s="2">
        <v>6320</v>
      </c>
      <c r="B113" s="371" t="s">
        <v>246</v>
      </c>
      <c r="C113" s="280"/>
      <c r="D113" s="49">
        <f t="shared" si="111"/>
        <v>0</v>
      </c>
      <c r="E113" s="280"/>
      <c r="F113" s="49">
        <f t="shared" si="112"/>
        <v>0</v>
      </c>
      <c r="G113" s="280"/>
      <c r="H113" s="49">
        <f t="shared" si="113"/>
        <v>0</v>
      </c>
      <c r="I113" s="280"/>
      <c r="J113" s="49">
        <f t="shared" si="114"/>
        <v>0</v>
      </c>
      <c r="K113" s="280"/>
      <c r="L113" s="49">
        <f t="shared" si="115"/>
        <v>0</v>
      </c>
      <c r="M113" s="280"/>
      <c r="N113" s="49">
        <f t="shared" si="116"/>
        <v>0</v>
      </c>
      <c r="O113" s="280"/>
      <c r="P113" s="49">
        <f t="shared" si="117"/>
        <v>0</v>
      </c>
      <c r="Q113" s="280"/>
      <c r="R113" s="49">
        <f t="shared" si="118"/>
        <v>0</v>
      </c>
      <c r="S113" s="280"/>
      <c r="T113" s="49">
        <f t="shared" si="109"/>
        <v>0</v>
      </c>
      <c r="U113" s="280"/>
      <c r="V113" s="49">
        <f t="shared" si="119"/>
        <v>0</v>
      </c>
      <c r="W113" s="280"/>
      <c r="X113" s="49">
        <f t="shared" si="120"/>
        <v>0</v>
      </c>
      <c r="Y113" s="280"/>
      <c r="Z113" s="49">
        <f t="shared" si="110"/>
        <v>0</v>
      </c>
      <c r="AA113" s="320">
        <f t="shared" si="121"/>
        <v>0</v>
      </c>
      <c r="AB113" s="49">
        <f t="shared" si="124"/>
        <v>0</v>
      </c>
      <c r="AC113" s="124">
        <f t="shared" si="94"/>
        <v>0</v>
      </c>
      <c r="AD113" s="49">
        <f t="shared" si="125"/>
        <v>0</v>
      </c>
      <c r="AE113" s="214"/>
      <c r="AF113" s="54"/>
      <c r="AH113" s="21"/>
    </row>
    <row r="114" spans="1:34" s="289" customFormat="1" ht="21.75" customHeight="1">
      <c r="A114" s="2">
        <v>6321</v>
      </c>
      <c r="B114" s="371" t="s">
        <v>247</v>
      </c>
      <c r="C114" s="350"/>
      <c r="D114" s="132">
        <f t="shared" si="111"/>
        <v>0</v>
      </c>
      <c r="E114" s="350"/>
      <c r="F114" s="132">
        <f t="shared" si="112"/>
        <v>0</v>
      </c>
      <c r="G114" s="350"/>
      <c r="H114" s="132">
        <f t="shared" si="113"/>
        <v>0</v>
      </c>
      <c r="I114" s="350"/>
      <c r="J114" s="132">
        <f t="shared" si="114"/>
        <v>0</v>
      </c>
      <c r="K114" s="350"/>
      <c r="L114" s="132">
        <f t="shared" si="115"/>
        <v>0</v>
      </c>
      <c r="M114" s="350"/>
      <c r="N114" s="132">
        <f t="shared" si="116"/>
        <v>0</v>
      </c>
      <c r="O114" s="350"/>
      <c r="P114" s="132">
        <f t="shared" si="117"/>
        <v>0</v>
      </c>
      <c r="Q114" s="350"/>
      <c r="R114" s="132">
        <f t="shared" si="118"/>
        <v>0</v>
      </c>
      <c r="S114" s="350"/>
      <c r="T114" s="132">
        <f t="shared" si="109"/>
        <v>0</v>
      </c>
      <c r="U114" s="350"/>
      <c r="V114" s="132">
        <f t="shared" si="119"/>
        <v>0</v>
      </c>
      <c r="W114" s="350"/>
      <c r="X114" s="132">
        <f t="shared" si="120"/>
        <v>0</v>
      </c>
      <c r="Y114" s="350"/>
      <c r="Z114" s="132">
        <f t="shared" si="110"/>
        <v>0</v>
      </c>
      <c r="AA114" s="583">
        <f t="shared" si="121"/>
        <v>0</v>
      </c>
      <c r="AB114" s="132">
        <f t="shared" si="124"/>
        <v>0</v>
      </c>
      <c r="AC114" s="584">
        <f t="shared" si="94"/>
        <v>0</v>
      </c>
      <c r="AD114" s="132">
        <f t="shared" si="125"/>
        <v>0</v>
      </c>
      <c r="AE114" s="214"/>
      <c r="AF114" s="54"/>
      <c r="AH114" s="21"/>
    </row>
    <row r="115" spans="1:34" s="289" customFormat="1" ht="21.75" customHeight="1" thickBot="1">
      <c r="A115" s="4">
        <v>6399</v>
      </c>
      <c r="B115" s="376" t="s">
        <v>115</v>
      </c>
      <c r="C115" s="471">
        <f>SUM(C94:C114)</f>
        <v>1755.0935532928113</v>
      </c>
      <c r="D115" s="472">
        <f>C115/C12</f>
        <v>1.3113174887500271E-2</v>
      </c>
      <c r="E115" s="471">
        <f>SUM(E94:E114)</f>
        <v>3595.82964422849</v>
      </c>
      <c r="F115" s="472">
        <f>E115/E12</f>
        <v>3.4532269117191448E-2</v>
      </c>
      <c r="G115" s="471">
        <f>SUM(G94:G114)</f>
        <v>2632.2194991262431</v>
      </c>
      <c r="H115" s="472">
        <f>G115/G12</f>
        <v>1.5239122132289406E-2</v>
      </c>
      <c r="I115" s="471">
        <f>SUM(I94:I114)</f>
        <v>5828.3242175369205</v>
      </c>
      <c r="J115" s="472">
        <f>I115/I12</f>
        <v>3.8214102744511667E-2</v>
      </c>
      <c r="K115" s="471">
        <f>SUM(K94:K114)</f>
        <v>4100.4690212941132</v>
      </c>
      <c r="L115" s="472">
        <f>K115/K12</f>
        <v>2.9395538063418009E-2</v>
      </c>
      <c r="M115" s="471">
        <f>SUM(M94:M114)</f>
        <v>1111.9861945049906</v>
      </c>
      <c r="N115" s="472">
        <f>M115/M12</f>
        <v>5.6217986110308569E-3</v>
      </c>
      <c r="O115" s="471">
        <f>SUM(O94:O114)</f>
        <v>1740.8760786731782</v>
      </c>
      <c r="P115" s="472">
        <f>O115/O12</f>
        <v>1.3901581667836062E-2</v>
      </c>
      <c r="Q115" s="471">
        <f>SUM(Q94:Q114)</f>
        <v>5336.1414005859688</v>
      </c>
      <c r="R115" s="472">
        <f>Q115/Q12</f>
        <v>3.4315738675114303E-2</v>
      </c>
      <c r="S115" s="471">
        <f>SUM(S94:S114)</f>
        <v>2469.0610977083761</v>
      </c>
      <c r="T115" s="472">
        <f>S115/S12</f>
        <v>1.5761764970401701E-2</v>
      </c>
      <c r="U115" s="471">
        <f>SUM(U94:U114)</f>
        <v>3008.34777545002</v>
      </c>
      <c r="V115" s="472">
        <f>U115/U12</f>
        <v>2.4211113898429084E-2</v>
      </c>
      <c r="W115" s="471">
        <f>SUM(W94:W114)</f>
        <v>1737.130068214306</v>
      </c>
      <c r="X115" s="472">
        <f>W115/W12</f>
        <v>1.3740723711304751E-2</v>
      </c>
      <c r="Y115" s="471">
        <f>SUM(Y94:Y114)</f>
        <v>1766.3873993547795</v>
      </c>
      <c r="Z115" s="472">
        <f>Y115/Y12</f>
        <v>9.2490152728797164E-3</v>
      </c>
      <c r="AA115" s="471">
        <f>SUM(AA94:AA114)</f>
        <v>35081.865949970197</v>
      </c>
      <c r="AB115" s="472">
        <f>AA115/AA12</f>
        <v>1.9713946911546518E-2</v>
      </c>
      <c r="AC115" s="473">
        <f t="shared" si="94"/>
        <v>2923.4888291641832</v>
      </c>
      <c r="AD115" s="472">
        <f>AC115/AC12</f>
        <v>1.9713946911546522E-2</v>
      </c>
      <c r="AE115" s="218"/>
      <c r="AF115" s="219"/>
      <c r="AG115" s="209"/>
      <c r="AH115" s="21">
        <f t="shared" si="97"/>
        <v>27160.95972898258</v>
      </c>
    </row>
    <row r="116" spans="1:34" s="289" customFormat="1" ht="21.75" customHeight="1" thickTop="1">
      <c r="A116" s="20">
        <v>6401</v>
      </c>
      <c r="B116" s="377" t="s">
        <v>89</v>
      </c>
      <c r="C116" s="474"/>
      <c r="D116" s="415">
        <f t="shared" ref="D116:D122" si="126">C116/C$12</f>
        <v>0</v>
      </c>
      <c r="E116" s="474"/>
      <c r="F116" s="475">
        <f t="shared" ref="F116:F122" si="127">E116/E$12</f>
        <v>0</v>
      </c>
      <c r="G116" s="474"/>
      <c r="H116" s="415">
        <f t="shared" ref="H116:H122" si="128">G116/G$12</f>
        <v>0</v>
      </c>
      <c r="I116" s="474"/>
      <c r="J116" s="475">
        <f t="shared" ref="J116:J122" si="129">I116/I$12</f>
        <v>0</v>
      </c>
      <c r="K116" s="474"/>
      <c r="L116" s="415">
        <f t="shared" ref="L116:L122" si="130">K116/K$12</f>
        <v>0</v>
      </c>
      <c r="M116" s="462"/>
      <c r="N116" s="475">
        <f t="shared" ref="N116:N122" si="131">M116/M$12</f>
        <v>0</v>
      </c>
      <c r="O116" s="474"/>
      <c r="P116" s="475">
        <f t="shared" ref="P116:P122" si="132">O116/O$12</f>
        <v>0</v>
      </c>
      <c r="Q116" s="474"/>
      <c r="R116" s="475">
        <f t="shared" ref="R116:R122" si="133">Q116/Q$12</f>
        <v>0</v>
      </c>
      <c r="S116" s="474"/>
      <c r="T116" s="475">
        <f t="shared" si="109"/>
        <v>0</v>
      </c>
      <c r="U116" s="474"/>
      <c r="V116" s="475">
        <f t="shared" ref="V116:V122" si="134">U116/U$12</f>
        <v>0</v>
      </c>
      <c r="W116" s="474"/>
      <c r="X116" s="475">
        <f t="shared" ref="X116:X122" si="135">W116/W$12</f>
        <v>0</v>
      </c>
      <c r="Y116" s="474"/>
      <c r="Z116" s="475">
        <f t="shared" si="110"/>
        <v>0</v>
      </c>
      <c r="AA116" s="405">
        <f t="shared" ref="AA116:AA128" si="136">C116+E116+G116+I116+K116+M116+O116+Q116+S116+U116+W116+Y116</f>
        <v>0</v>
      </c>
      <c r="AB116" s="416">
        <f t="shared" ref="AB116:AB122" si="137">AA116/AA$12</f>
        <v>0</v>
      </c>
      <c r="AC116" s="407">
        <f t="shared" si="94"/>
        <v>0</v>
      </c>
      <c r="AD116" s="417">
        <f t="shared" ref="AD116:AD122" si="138">AC116/AC$12</f>
        <v>0</v>
      </c>
      <c r="AE116" s="214"/>
      <c r="AF116" s="54"/>
      <c r="AH116" s="21">
        <f t="shared" si="97"/>
        <v>0</v>
      </c>
    </row>
    <row r="117" spans="1:34" s="5" customFormat="1" ht="21.75" customHeight="1">
      <c r="A117" s="128">
        <v>6402</v>
      </c>
      <c r="B117" s="20" t="s">
        <v>75</v>
      </c>
      <c r="C117" s="176">
        <v>100</v>
      </c>
      <c r="D117" s="49">
        <f t="shared" si="126"/>
        <v>7.47149624183739E-4</v>
      </c>
      <c r="E117" s="176">
        <v>100</v>
      </c>
      <c r="F117" s="49">
        <f t="shared" si="127"/>
        <v>9.6034218897487805E-4</v>
      </c>
      <c r="G117" s="176">
        <v>100</v>
      </c>
      <c r="H117" s="49">
        <f t="shared" si="128"/>
        <v>5.7894572004150806E-4</v>
      </c>
      <c r="I117" s="176">
        <v>100</v>
      </c>
      <c r="J117" s="49">
        <f t="shared" si="129"/>
        <v>6.5566192473522241E-4</v>
      </c>
      <c r="K117" s="176">
        <v>100</v>
      </c>
      <c r="L117" s="49">
        <f t="shared" si="130"/>
        <v>7.1688233494179019E-4</v>
      </c>
      <c r="M117" s="176">
        <v>100</v>
      </c>
      <c r="N117" s="49">
        <f t="shared" si="131"/>
        <v>5.0556370562976685E-4</v>
      </c>
      <c r="O117" s="176">
        <v>100</v>
      </c>
      <c r="P117" s="49">
        <f t="shared" si="132"/>
        <v>7.9853941576538037E-4</v>
      </c>
      <c r="Q117" s="176">
        <v>100</v>
      </c>
      <c r="R117" s="49">
        <f t="shared" si="133"/>
        <v>6.4308150963439696E-4</v>
      </c>
      <c r="S117" s="176">
        <v>100</v>
      </c>
      <c r="T117" s="49">
        <f t="shared" si="109"/>
        <v>6.3837079548297764E-4</v>
      </c>
      <c r="U117" s="176">
        <v>100</v>
      </c>
      <c r="V117" s="49">
        <f t="shared" si="134"/>
        <v>8.0479770643563091E-4</v>
      </c>
      <c r="W117" s="176">
        <v>100</v>
      </c>
      <c r="X117" s="49">
        <f t="shared" si="135"/>
        <v>7.9100143177129021E-4</v>
      </c>
      <c r="Y117" s="176">
        <v>100</v>
      </c>
      <c r="Z117" s="49">
        <f t="shared" si="110"/>
        <v>5.2361193678454501E-4</v>
      </c>
      <c r="AA117" s="405">
        <f t="shared" si="136"/>
        <v>1200</v>
      </c>
      <c r="AB117" s="415">
        <f t="shared" si="137"/>
        <v>6.7432947630529099E-4</v>
      </c>
      <c r="AC117" s="476">
        <f t="shared" si="94"/>
        <v>100</v>
      </c>
      <c r="AD117" s="415">
        <f t="shared" si="138"/>
        <v>6.7432947630529099E-4</v>
      </c>
      <c r="AE117" s="144"/>
      <c r="AF117" s="54"/>
      <c r="AH117" s="21">
        <f t="shared" si="97"/>
        <v>509</v>
      </c>
    </row>
    <row r="118" spans="1:34" s="5" customFormat="1" ht="21.75" customHeight="1">
      <c r="A118" s="128">
        <v>6403</v>
      </c>
      <c r="B118" s="20" t="s">
        <v>277</v>
      </c>
      <c r="C118" s="176"/>
      <c r="D118" s="49"/>
      <c r="E118" s="176"/>
      <c r="F118" s="49"/>
      <c r="G118" s="176"/>
      <c r="H118" s="49"/>
      <c r="I118" s="176"/>
      <c r="J118" s="49"/>
      <c r="K118" s="176"/>
      <c r="L118" s="49"/>
      <c r="M118" s="176"/>
      <c r="N118" s="49"/>
      <c r="O118" s="176"/>
      <c r="P118" s="49"/>
      <c r="Q118" s="176"/>
      <c r="R118" s="49"/>
      <c r="S118" s="176"/>
      <c r="T118" s="49"/>
      <c r="U118" s="176"/>
      <c r="V118" s="49"/>
      <c r="W118" s="176"/>
      <c r="X118" s="49"/>
      <c r="Y118" s="176"/>
      <c r="Z118" s="49"/>
      <c r="AA118" s="405">
        <f t="shared" si="136"/>
        <v>0</v>
      </c>
      <c r="AB118" s="415">
        <f t="shared" si="137"/>
        <v>0</v>
      </c>
      <c r="AC118" s="476">
        <f t="shared" si="94"/>
        <v>0</v>
      </c>
      <c r="AD118" s="415">
        <f t="shared" si="138"/>
        <v>0</v>
      </c>
      <c r="AE118" s="144"/>
      <c r="AF118" s="54"/>
      <c r="AH118" s="21"/>
    </row>
    <row r="119" spans="1:34" s="289" customFormat="1" ht="21.75" customHeight="1">
      <c r="A119" s="2">
        <v>6404</v>
      </c>
      <c r="B119" s="147" t="s">
        <v>92</v>
      </c>
      <c r="C119" s="176">
        <v>250</v>
      </c>
      <c r="D119" s="49">
        <f t="shared" si="126"/>
        <v>1.8678740604593477E-3</v>
      </c>
      <c r="E119" s="176">
        <v>250</v>
      </c>
      <c r="F119" s="49">
        <f t="shared" si="127"/>
        <v>2.4008554724371952E-3</v>
      </c>
      <c r="G119" s="176">
        <v>250</v>
      </c>
      <c r="H119" s="49">
        <f t="shared" si="128"/>
        <v>1.4473643001037702E-3</v>
      </c>
      <c r="I119" s="176">
        <v>250</v>
      </c>
      <c r="J119" s="49">
        <f t="shared" si="129"/>
        <v>1.6391548118380561E-3</v>
      </c>
      <c r="K119" s="176">
        <v>250</v>
      </c>
      <c r="L119" s="49">
        <f t="shared" si="130"/>
        <v>1.7922058373544753E-3</v>
      </c>
      <c r="M119" s="176">
        <v>250</v>
      </c>
      <c r="N119" s="49">
        <f t="shared" si="131"/>
        <v>1.263909264074417E-3</v>
      </c>
      <c r="O119" s="176">
        <v>250</v>
      </c>
      <c r="P119" s="49">
        <f t="shared" si="132"/>
        <v>1.9963485394134512E-3</v>
      </c>
      <c r="Q119" s="176">
        <v>250</v>
      </c>
      <c r="R119" s="49">
        <f t="shared" si="133"/>
        <v>1.6077037740859926E-3</v>
      </c>
      <c r="S119" s="176">
        <v>250</v>
      </c>
      <c r="T119" s="49">
        <f t="shared" si="109"/>
        <v>1.5959269887074442E-3</v>
      </c>
      <c r="U119" s="176">
        <v>250</v>
      </c>
      <c r="V119" s="49">
        <f t="shared" si="134"/>
        <v>2.0119942660890774E-3</v>
      </c>
      <c r="W119" s="176">
        <v>250</v>
      </c>
      <c r="X119" s="49">
        <f t="shared" si="135"/>
        <v>1.9775035794282253E-3</v>
      </c>
      <c r="Y119" s="176">
        <v>250</v>
      </c>
      <c r="Z119" s="49">
        <f t="shared" si="110"/>
        <v>1.3090298419613624E-3</v>
      </c>
      <c r="AA119" s="405">
        <f t="shared" si="136"/>
        <v>3000</v>
      </c>
      <c r="AB119" s="416">
        <f t="shared" si="137"/>
        <v>1.6858236907632274E-3</v>
      </c>
      <c r="AC119" s="476">
        <f t="shared" si="94"/>
        <v>250</v>
      </c>
      <c r="AD119" s="417">
        <f t="shared" si="138"/>
        <v>1.6858236907632276E-3</v>
      </c>
      <c r="AE119" s="214"/>
      <c r="AF119" s="54"/>
      <c r="AH119" s="21">
        <f t="shared" si="97"/>
        <v>1272.5</v>
      </c>
    </row>
    <row r="120" spans="1:34" s="289" customFormat="1" ht="21.75" customHeight="1">
      <c r="A120" s="2">
        <v>6406</v>
      </c>
      <c r="B120" s="147" t="s">
        <v>72</v>
      </c>
      <c r="C120" s="62">
        <v>150</v>
      </c>
      <c r="D120" s="49">
        <f t="shared" si="126"/>
        <v>1.1207244362756085E-3</v>
      </c>
      <c r="E120" s="62">
        <v>150</v>
      </c>
      <c r="F120" s="49">
        <f t="shared" si="127"/>
        <v>1.440513283462317E-3</v>
      </c>
      <c r="G120" s="62">
        <v>150</v>
      </c>
      <c r="H120" s="49">
        <f t="shared" si="128"/>
        <v>8.6841858006226214E-4</v>
      </c>
      <c r="I120" s="62">
        <v>150</v>
      </c>
      <c r="J120" s="49">
        <f t="shared" si="129"/>
        <v>9.8349288710283356E-4</v>
      </c>
      <c r="K120" s="62">
        <v>150</v>
      </c>
      <c r="L120" s="49">
        <f t="shared" si="130"/>
        <v>1.0753235024126852E-3</v>
      </c>
      <c r="M120" s="62">
        <v>150</v>
      </c>
      <c r="N120" s="49">
        <f t="shared" si="131"/>
        <v>7.5834555844465023E-4</v>
      </c>
      <c r="O120" s="62">
        <v>150</v>
      </c>
      <c r="P120" s="49">
        <f t="shared" si="132"/>
        <v>1.1978091236480707E-3</v>
      </c>
      <c r="Q120" s="62">
        <v>150</v>
      </c>
      <c r="R120" s="49">
        <f t="shared" si="133"/>
        <v>9.6462226445159554E-4</v>
      </c>
      <c r="S120" s="62">
        <v>150</v>
      </c>
      <c r="T120" s="49">
        <f t="shared" si="109"/>
        <v>9.5755619322446652E-4</v>
      </c>
      <c r="U120" s="62">
        <v>150</v>
      </c>
      <c r="V120" s="49">
        <f t="shared" si="134"/>
        <v>1.2071965596534464E-3</v>
      </c>
      <c r="W120" s="62">
        <v>150</v>
      </c>
      <c r="X120" s="49">
        <f t="shared" si="135"/>
        <v>1.1865021476569354E-3</v>
      </c>
      <c r="Y120" s="62">
        <v>150</v>
      </c>
      <c r="Z120" s="49">
        <f t="shared" si="110"/>
        <v>7.8541790517681746E-4</v>
      </c>
      <c r="AA120" s="405">
        <f t="shared" si="136"/>
        <v>1800</v>
      </c>
      <c r="AB120" s="416">
        <f t="shared" si="137"/>
        <v>1.0114942144579364E-3</v>
      </c>
      <c r="AC120" s="476">
        <f t="shared" si="94"/>
        <v>150</v>
      </c>
      <c r="AD120" s="417">
        <f t="shared" si="138"/>
        <v>1.0114942144579366E-3</v>
      </c>
      <c r="AE120" s="214"/>
      <c r="AF120" s="54"/>
      <c r="AH120" s="21">
        <f t="shared" si="97"/>
        <v>763.5</v>
      </c>
    </row>
    <row r="121" spans="1:34" s="289" customFormat="1" ht="21.75" customHeight="1">
      <c r="A121" s="2">
        <v>6407</v>
      </c>
      <c r="B121" s="147" t="s">
        <v>73</v>
      </c>
      <c r="C121" s="62">
        <v>0</v>
      </c>
      <c r="D121" s="49">
        <f t="shared" si="126"/>
        <v>0</v>
      </c>
      <c r="E121" s="62">
        <v>0</v>
      </c>
      <c r="F121" s="49">
        <f t="shared" si="127"/>
        <v>0</v>
      </c>
      <c r="G121" s="62">
        <v>0</v>
      </c>
      <c r="H121" s="49">
        <f t="shared" si="128"/>
        <v>0</v>
      </c>
      <c r="I121" s="62">
        <v>0</v>
      </c>
      <c r="J121" s="49">
        <f t="shared" si="129"/>
        <v>0</v>
      </c>
      <c r="K121" s="62">
        <v>0</v>
      </c>
      <c r="L121" s="49">
        <f t="shared" si="130"/>
        <v>0</v>
      </c>
      <c r="M121" s="62">
        <v>0</v>
      </c>
      <c r="N121" s="49">
        <f t="shared" si="131"/>
        <v>0</v>
      </c>
      <c r="O121" s="62">
        <v>0</v>
      </c>
      <c r="P121" s="49">
        <f t="shared" si="132"/>
        <v>0</v>
      </c>
      <c r="Q121" s="62">
        <v>0</v>
      </c>
      <c r="R121" s="49">
        <f t="shared" si="133"/>
        <v>0</v>
      </c>
      <c r="S121" s="62">
        <v>0</v>
      </c>
      <c r="T121" s="49">
        <f t="shared" si="109"/>
        <v>0</v>
      </c>
      <c r="U121" s="62">
        <v>0</v>
      </c>
      <c r="V121" s="49">
        <f t="shared" si="134"/>
        <v>0</v>
      </c>
      <c r="W121" s="62">
        <v>0</v>
      </c>
      <c r="X121" s="49">
        <f t="shared" si="135"/>
        <v>0</v>
      </c>
      <c r="Y121" s="62">
        <v>0</v>
      </c>
      <c r="Z121" s="49">
        <f t="shared" si="110"/>
        <v>0</v>
      </c>
      <c r="AA121" s="405">
        <f t="shared" si="136"/>
        <v>0</v>
      </c>
      <c r="AB121" s="416">
        <f t="shared" si="137"/>
        <v>0</v>
      </c>
      <c r="AC121" s="476">
        <f t="shared" si="94"/>
        <v>0</v>
      </c>
      <c r="AD121" s="417">
        <f t="shared" si="138"/>
        <v>0</v>
      </c>
      <c r="AE121" s="214"/>
      <c r="AF121" s="54"/>
      <c r="AH121" s="21">
        <f t="shared" si="97"/>
        <v>0</v>
      </c>
    </row>
    <row r="122" spans="1:34" s="289" customFormat="1" ht="21.75" customHeight="1">
      <c r="A122" s="2">
        <v>6408</v>
      </c>
      <c r="B122" s="147" t="s">
        <v>42</v>
      </c>
      <c r="C122" s="62">
        <v>0</v>
      </c>
      <c r="D122" s="49">
        <f t="shared" si="126"/>
        <v>0</v>
      </c>
      <c r="E122" s="62">
        <v>0</v>
      </c>
      <c r="F122" s="49">
        <f t="shared" si="127"/>
        <v>0</v>
      </c>
      <c r="G122" s="62">
        <v>0</v>
      </c>
      <c r="H122" s="49">
        <f t="shared" si="128"/>
        <v>0</v>
      </c>
      <c r="I122" s="62">
        <v>0</v>
      </c>
      <c r="J122" s="49">
        <f t="shared" si="129"/>
        <v>0</v>
      </c>
      <c r="K122" s="62">
        <v>0</v>
      </c>
      <c r="L122" s="49">
        <f t="shared" si="130"/>
        <v>0</v>
      </c>
      <c r="M122" s="62">
        <v>0</v>
      </c>
      <c r="N122" s="49">
        <f t="shared" si="131"/>
        <v>0</v>
      </c>
      <c r="O122" s="62">
        <v>0</v>
      </c>
      <c r="P122" s="49">
        <f t="shared" si="132"/>
        <v>0</v>
      </c>
      <c r="Q122" s="62">
        <v>0</v>
      </c>
      <c r="R122" s="49">
        <f t="shared" si="133"/>
        <v>0</v>
      </c>
      <c r="S122" s="62">
        <v>0</v>
      </c>
      <c r="T122" s="49">
        <f t="shared" si="109"/>
        <v>0</v>
      </c>
      <c r="U122" s="62">
        <v>0</v>
      </c>
      <c r="V122" s="49">
        <f t="shared" si="134"/>
        <v>0</v>
      </c>
      <c r="W122" s="62">
        <v>0</v>
      </c>
      <c r="X122" s="49">
        <f t="shared" si="135"/>
        <v>0</v>
      </c>
      <c r="Y122" s="62">
        <v>0</v>
      </c>
      <c r="Z122" s="49">
        <f t="shared" si="110"/>
        <v>0</v>
      </c>
      <c r="AA122" s="405">
        <f t="shared" si="136"/>
        <v>0</v>
      </c>
      <c r="AB122" s="416">
        <f t="shared" si="137"/>
        <v>0</v>
      </c>
      <c r="AC122" s="476">
        <f t="shared" si="94"/>
        <v>0</v>
      </c>
      <c r="AD122" s="417">
        <f t="shared" si="138"/>
        <v>0</v>
      </c>
      <c r="AE122" s="214"/>
      <c r="AF122" s="54"/>
      <c r="AH122" s="21">
        <f t="shared" si="97"/>
        <v>0</v>
      </c>
    </row>
    <row r="123" spans="1:34" s="289" customFormat="1" ht="21.75" customHeight="1">
      <c r="A123" s="2">
        <v>6410</v>
      </c>
      <c r="B123" s="147" t="s">
        <v>105</v>
      </c>
      <c r="C123" s="62"/>
      <c r="D123" s="49"/>
      <c r="E123" s="62"/>
      <c r="F123" s="49"/>
      <c r="G123" s="62"/>
      <c r="H123" s="49"/>
      <c r="I123" s="62"/>
      <c r="J123" s="49"/>
      <c r="K123" s="62"/>
      <c r="L123" s="49"/>
      <c r="M123" s="62"/>
      <c r="N123" s="49"/>
      <c r="O123" s="62"/>
      <c r="P123" s="49"/>
      <c r="Q123" s="62"/>
      <c r="R123" s="49"/>
      <c r="S123" s="62"/>
      <c r="T123" s="49"/>
      <c r="U123" s="62"/>
      <c r="V123" s="49"/>
      <c r="W123" s="62"/>
      <c r="X123" s="49"/>
      <c r="Y123" s="62"/>
      <c r="Z123" s="49"/>
      <c r="AA123" s="405">
        <f t="shared" si="136"/>
        <v>0</v>
      </c>
      <c r="AB123" s="416"/>
      <c r="AC123" s="476">
        <f t="shared" si="94"/>
        <v>0</v>
      </c>
      <c r="AD123" s="417"/>
      <c r="AE123" s="214"/>
      <c r="AF123" s="54"/>
      <c r="AH123" s="21">
        <f t="shared" si="97"/>
        <v>0</v>
      </c>
    </row>
    <row r="124" spans="1:34" s="289" customFormat="1" ht="21.75" customHeight="1">
      <c r="A124" s="2">
        <v>6411</v>
      </c>
      <c r="B124" s="147" t="s">
        <v>117</v>
      </c>
      <c r="C124" s="62"/>
      <c r="D124" s="49"/>
      <c r="E124" s="62"/>
      <c r="F124" s="49"/>
      <c r="G124" s="62"/>
      <c r="H124" s="49"/>
      <c r="I124" s="62"/>
      <c r="J124" s="49"/>
      <c r="K124" s="62"/>
      <c r="L124" s="49"/>
      <c r="M124" s="62"/>
      <c r="N124" s="49"/>
      <c r="O124" s="62"/>
      <c r="P124" s="49"/>
      <c r="Q124" s="62"/>
      <c r="R124" s="49"/>
      <c r="S124" s="62"/>
      <c r="T124" s="49"/>
      <c r="U124" s="62"/>
      <c r="V124" s="49"/>
      <c r="W124" s="62"/>
      <c r="X124" s="49"/>
      <c r="Y124" s="62"/>
      <c r="Z124" s="49"/>
      <c r="AA124" s="405">
        <f t="shared" si="136"/>
        <v>0</v>
      </c>
      <c r="AB124" s="416"/>
      <c r="AC124" s="476">
        <f t="shared" si="94"/>
        <v>0</v>
      </c>
      <c r="AD124" s="417"/>
      <c r="AE124" s="214"/>
      <c r="AF124" s="54"/>
      <c r="AH124" s="21">
        <f t="shared" si="97"/>
        <v>0</v>
      </c>
    </row>
    <row r="125" spans="1:34" s="289" customFormat="1" ht="21.75" customHeight="1">
      <c r="A125" s="2">
        <v>6412</v>
      </c>
      <c r="B125" s="147" t="s">
        <v>93</v>
      </c>
      <c r="C125" s="62"/>
      <c r="D125" s="49">
        <f>C125/C$12</f>
        <v>0</v>
      </c>
      <c r="E125" s="62"/>
      <c r="F125" s="49">
        <f>E125/E$12</f>
        <v>0</v>
      </c>
      <c r="G125" s="62"/>
      <c r="H125" s="49">
        <f>G125/G$12</f>
        <v>0</v>
      </c>
      <c r="I125" s="62"/>
      <c r="J125" s="49">
        <f>I125/I$12</f>
        <v>0</v>
      </c>
      <c r="K125" s="62"/>
      <c r="L125" s="49">
        <f>K125/K$12</f>
        <v>0</v>
      </c>
      <c r="M125" s="62"/>
      <c r="N125" s="49">
        <f>M125/M$12</f>
        <v>0</v>
      </c>
      <c r="O125" s="62"/>
      <c r="P125" s="49">
        <f>O125/O$12</f>
        <v>0</v>
      </c>
      <c r="Q125" s="62"/>
      <c r="R125" s="49">
        <f>Q125/Q$12</f>
        <v>0</v>
      </c>
      <c r="S125" s="62"/>
      <c r="T125" s="49">
        <f>S125/S$12</f>
        <v>0</v>
      </c>
      <c r="U125" s="62"/>
      <c r="V125" s="49">
        <f>U125/U$12</f>
        <v>0</v>
      </c>
      <c r="W125" s="62"/>
      <c r="X125" s="49">
        <f>W125/W$12</f>
        <v>0</v>
      </c>
      <c r="Y125" s="62"/>
      <c r="Z125" s="49">
        <f>Y125/Y$12</f>
        <v>0</v>
      </c>
      <c r="AA125" s="405">
        <f t="shared" si="136"/>
        <v>0</v>
      </c>
      <c r="AB125" s="416">
        <f>AA125/AA$12</f>
        <v>0</v>
      </c>
      <c r="AC125" s="476">
        <f t="shared" si="94"/>
        <v>0</v>
      </c>
      <c r="AD125" s="417">
        <f>AC125/AC$12</f>
        <v>0</v>
      </c>
      <c r="AE125" s="214"/>
      <c r="AF125" s="54"/>
      <c r="AH125" s="21">
        <f t="shared" si="97"/>
        <v>0</v>
      </c>
    </row>
    <row r="126" spans="1:34" s="289" customFormat="1" ht="21.75" customHeight="1">
      <c r="A126" s="128">
        <v>6413</v>
      </c>
      <c r="B126" s="20" t="s">
        <v>41</v>
      </c>
      <c r="C126" s="62">
        <f>C16*1%</f>
        <v>1338.42</v>
      </c>
      <c r="D126" s="49">
        <f>C126/C$12</f>
        <v>0.01</v>
      </c>
      <c r="E126" s="62">
        <f>E16*1%</f>
        <v>1041.29550016693</v>
      </c>
      <c r="F126" s="49">
        <f>E126/E$12</f>
        <v>0.01</v>
      </c>
      <c r="G126" s="62">
        <f>G16*1%</f>
        <v>1727.2776451794205</v>
      </c>
      <c r="H126" s="49">
        <f>G126/G$12</f>
        <v>0.01</v>
      </c>
      <c r="I126" s="62">
        <f>I16*1%</f>
        <v>1525.1762566567099</v>
      </c>
      <c r="J126" s="49">
        <f>I126/I$12</f>
        <v>0.01</v>
      </c>
      <c r="K126" s="62">
        <f>K16*1%</f>
        <v>1394.92905775283</v>
      </c>
      <c r="L126" s="49">
        <f>K126/K$12</f>
        <v>0.01</v>
      </c>
      <c r="M126" s="62">
        <f>M16*1%</f>
        <v>1977.9900907924698</v>
      </c>
      <c r="N126" s="49">
        <f>M126/M$12</f>
        <v>0.01</v>
      </c>
      <c r="O126" s="62">
        <f>O16*1%</f>
        <v>1252.2863371015001</v>
      </c>
      <c r="P126" s="49">
        <f>O126/O$12</f>
        <v>0.01</v>
      </c>
      <c r="Q126" s="62">
        <f>Q16*1%</f>
        <v>1555.01283277219</v>
      </c>
      <c r="R126" s="49">
        <f>Q126/Q$12</f>
        <v>0.01</v>
      </c>
      <c r="S126" s="62">
        <f>S16*1%</f>
        <v>1566.4877013106802</v>
      </c>
      <c r="T126" s="49">
        <f>S126/S$12</f>
        <v>0.01</v>
      </c>
      <c r="U126" s="62">
        <f>U16*1%</f>
        <v>1242.5482726943901</v>
      </c>
      <c r="V126" s="49">
        <f>U126/U$12</f>
        <v>0.01</v>
      </c>
      <c r="W126" s="62">
        <f>W16*1%</f>
        <v>1264.2202148240101</v>
      </c>
      <c r="X126" s="49">
        <f>W126/W$12</f>
        <v>0.01</v>
      </c>
      <c r="Y126" s="62">
        <f>Y16*1%</f>
        <v>1909.8113120585301</v>
      </c>
      <c r="Z126" s="49">
        <f>Y126/Y$12</f>
        <v>0.01</v>
      </c>
      <c r="AA126" s="405">
        <f t="shared" si="136"/>
        <v>17795.455221309661</v>
      </c>
      <c r="AB126" s="416">
        <f>AA126/AA$12</f>
        <v>0.01</v>
      </c>
      <c r="AC126" s="476">
        <f t="shared" si="94"/>
        <v>1482.954601775805</v>
      </c>
      <c r="AD126" s="417">
        <f>AC126/AC$12</f>
        <v>0.01</v>
      </c>
      <c r="AE126" s="214" t="s">
        <v>182</v>
      </c>
      <c r="AF126" s="205"/>
      <c r="AH126" s="21">
        <f t="shared" si="97"/>
        <v>7915.0153188104468</v>
      </c>
    </row>
    <row r="127" spans="1:34" s="289" customFormat="1" ht="21.75" customHeight="1">
      <c r="A127" s="2">
        <v>6414</v>
      </c>
      <c r="B127" s="147" t="s">
        <v>43</v>
      </c>
      <c r="C127" s="62">
        <v>100</v>
      </c>
      <c r="D127" s="49">
        <f>C127/C$12</f>
        <v>7.47149624183739E-4</v>
      </c>
      <c r="E127" s="62">
        <v>100</v>
      </c>
      <c r="F127" s="49">
        <f>E127/E$12</f>
        <v>9.6034218897487805E-4</v>
      </c>
      <c r="G127" s="62">
        <v>100</v>
      </c>
      <c r="H127" s="49">
        <f>G127/G$12</f>
        <v>5.7894572004150806E-4</v>
      </c>
      <c r="I127" s="62">
        <v>100</v>
      </c>
      <c r="J127" s="49">
        <f>I127/I$12</f>
        <v>6.5566192473522241E-4</v>
      </c>
      <c r="K127" s="62">
        <v>100</v>
      </c>
      <c r="L127" s="49">
        <f>K127/K$12</f>
        <v>7.1688233494179019E-4</v>
      </c>
      <c r="M127" s="62">
        <v>100</v>
      </c>
      <c r="N127" s="49">
        <f>M127/M$12</f>
        <v>5.0556370562976685E-4</v>
      </c>
      <c r="O127" s="62">
        <v>100</v>
      </c>
      <c r="P127" s="49">
        <f>O127/O$12</f>
        <v>7.9853941576538037E-4</v>
      </c>
      <c r="Q127" s="62">
        <v>100</v>
      </c>
      <c r="R127" s="49">
        <f>Q127/Q$12</f>
        <v>6.4308150963439696E-4</v>
      </c>
      <c r="S127" s="62">
        <v>100</v>
      </c>
      <c r="T127" s="49">
        <f>S127/S$12</f>
        <v>6.3837079548297764E-4</v>
      </c>
      <c r="U127" s="62">
        <v>100</v>
      </c>
      <c r="V127" s="49">
        <f>U127/U$12</f>
        <v>8.0479770643563091E-4</v>
      </c>
      <c r="W127" s="62">
        <v>100</v>
      </c>
      <c r="X127" s="49">
        <f>W127/W$12</f>
        <v>7.9100143177129021E-4</v>
      </c>
      <c r="Y127" s="62">
        <v>100</v>
      </c>
      <c r="Z127" s="49">
        <f>Y127/Y$12</f>
        <v>5.2361193678454501E-4</v>
      </c>
      <c r="AA127" s="405">
        <f t="shared" si="136"/>
        <v>1200</v>
      </c>
      <c r="AB127" s="416">
        <f>AA127/AA$12</f>
        <v>6.7432947630529099E-4</v>
      </c>
      <c r="AC127" s="476">
        <f t="shared" si="94"/>
        <v>100</v>
      </c>
      <c r="AD127" s="417">
        <f>AC127/AC$12</f>
        <v>6.7432947630529099E-4</v>
      </c>
      <c r="AE127" s="214" t="s">
        <v>181</v>
      </c>
      <c r="AF127" s="54"/>
      <c r="AH127" s="21">
        <f t="shared" si="97"/>
        <v>509</v>
      </c>
    </row>
    <row r="128" spans="1:34" s="289" customFormat="1" ht="21.75" customHeight="1">
      <c r="A128" s="2">
        <v>6415</v>
      </c>
      <c r="B128" s="147" t="s">
        <v>44</v>
      </c>
      <c r="C128" s="62"/>
      <c r="D128" s="49">
        <f>C128/C$12</f>
        <v>0</v>
      </c>
      <c r="E128" s="62"/>
      <c r="F128" s="49">
        <f>E128/E$12</f>
        <v>0</v>
      </c>
      <c r="G128" s="62"/>
      <c r="H128" s="49">
        <f>G128/G$12</f>
        <v>0</v>
      </c>
      <c r="I128" s="62"/>
      <c r="J128" s="49">
        <f>I128/I$12</f>
        <v>0</v>
      </c>
      <c r="K128" s="62"/>
      <c r="L128" s="49">
        <f>K128/K$12</f>
        <v>0</v>
      </c>
      <c r="M128" s="62"/>
      <c r="N128" s="49">
        <f>M128/M$12</f>
        <v>0</v>
      </c>
      <c r="O128" s="62"/>
      <c r="P128" s="49">
        <f>O128/O$12</f>
        <v>0</v>
      </c>
      <c r="Q128" s="62"/>
      <c r="R128" s="49">
        <f>Q128/Q$12</f>
        <v>0</v>
      </c>
      <c r="S128" s="62"/>
      <c r="T128" s="49">
        <f>S128/S$12</f>
        <v>0</v>
      </c>
      <c r="U128" s="62"/>
      <c r="V128" s="49">
        <f>U128/U$12</f>
        <v>0</v>
      </c>
      <c r="W128" s="62"/>
      <c r="X128" s="49">
        <f>W128/W$12</f>
        <v>0</v>
      </c>
      <c r="Y128" s="62"/>
      <c r="Z128" s="49">
        <f>Y128/Y$12</f>
        <v>0</v>
      </c>
      <c r="AA128" s="405">
        <f t="shared" si="136"/>
        <v>0</v>
      </c>
      <c r="AB128" s="416">
        <f>AA128/AA$12</f>
        <v>0</v>
      </c>
      <c r="AC128" s="476">
        <f t="shared" si="94"/>
        <v>0</v>
      </c>
      <c r="AD128" s="417">
        <f>AC128/AC$12</f>
        <v>0</v>
      </c>
      <c r="AE128" s="214"/>
      <c r="AF128" s="54"/>
      <c r="AH128" s="21">
        <f t="shared" si="97"/>
        <v>0</v>
      </c>
    </row>
    <row r="129" spans="1:35" s="289" customFormat="1" ht="21.75" customHeight="1" thickBot="1">
      <c r="A129" s="4">
        <v>6499</v>
      </c>
      <c r="B129" s="376" t="s">
        <v>116</v>
      </c>
      <c r="C129" s="419">
        <f>SUM(C116:C128)</f>
        <v>1938.42</v>
      </c>
      <c r="D129" s="421">
        <f>C129/C12</f>
        <v>1.4482897745102434E-2</v>
      </c>
      <c r="E129" s="419">
        <f>SUM(E116:E128)</f>
        <v>1641.29550016693</v>
      </c>
      <c r="F129" s="421">
        <f>E129/E12</f>
        <v>1.5762053133849267E-2</v>
      </c>
      <c r="G129" s="419">
        <f>SUM(G116:G128)</f>
        <v>2327.2776451794207</v>
      </c>
      <c r="H129" s="421">
        <f>G129/G12</f>
        <v>1.3473674320249051E-2</v>
      </c>
      <c r="I129" s="419">
        <f>SUM(I116:I128)</f>
        <v>2125.1762566567099</v>
      </c>
      <c r="J129" s="421">
        <f>I129/I12</f>
        <v>1.3933971548411335E-2</v>
      </c>
      <c r="K129" s="442">
        <f>SUM(K116:K128)</f>
        <v>1994.92905775283</v>
      </c>
      <c r="L129" s="421">
        <f>K129/K12</f>
        <v>1.4301294009650741E-2</v>
      </c>
      <c r="M129" s="442">
        <f>SUM(M116:M128)</f>
        <v>2577.9900907924698</v>
      </c>
      <c r="N129" s="421">
        <f>M129/M12</f>
        <v>1.30333822337786E-2</v>
      </c>
      <c r="O129" s="442">
        <f>SUM(O116:O128)</f>
        <v>1852.2863371015001</v>
      </c>
      <c r="P129" s="421">
        <f>O129/O12</f>
        <v>1.4791236494592283E-2</v>
      </c>
      <c r="Q129" s="419">
        <f>SUM(Q116:Q128)</f>
        <v>2155.01283277219</v>
      </c>
      <c r="R129" s="421">
        <f>Q129/Q12</f>
        <v>1.3858489057806383E-2</v>
      </c>
      <c r="S129" s="419">
        <f>SUM(S116:S128)</f>
        <v>2166.4877013106802</v>
      </c>
      <c r="T129" s="421">
        <f>S129/S$12</f>
        <v>1.3830224772897866E-2</v>
      </c>
      <c r="U129" s="419">
        <f>SUM(U116:U128)</f>
        <v>1842.5482726943901</v>
      </c>
      <c r="V129" s="421">
        <f>U129/U12</f>
        <v>1.4828786238613787E-2</v>
      </c>
      <c r="W129" s="419">
        <f>SUM(W116:W128)</f>
        <v>1864.2202148240101</v>
      </c>
      <c r="X129" s="421">
        <f>W129/W12</f>
        <v>1.4746008590627741E-2</v>
      </c>
      <c r="Y129" s="419">
        <f>SUM(Y116:Y128)</f>
        <v>2509.8113120585303</v>
      </c>
      <c r="Z129" s="421">
        <f>Y129/Y$12</f>
        <v>1.3141671620707271E-2</v>
      </c>
      <c r="AA129" s="422">
        <f>SUM(AA116:AA128)</f>
        <v>24995.455221309661</v>
      </c>
      <c r="AB129" s="423">
        <f>AA129/AA$12</f>
        <v>1.4045976857831745E-2</v>
      </c>
      <c r="AC129" s="424">
        <f t="shared" si="94"/>
        <v>2082.9546017758053</v>
      </c>
      <c r="AD129" s="425">
        <f>AC129/AC$12</f>
        <v>1.4045976857831747E-2</v>
      </c>
      <c r="AE129" s="218"/>
      <c r="AF129" s="219"/>
      <c r="AG129" s="209"/>
      <c r="AH129" s="21">
        <f t="shared" si="97"/>
        <v>10969.015318810447</v>
      </c>
    </row>
    <row r="130" spans="1:35" s="289" customFormat="1" ht="21.75" customHeight="1" thickTop="1">
      <c r="A130" s="139"/>
      <c r="B130" s="379"/>
      <c r="C130" s="440"/>
      <c r="D130" s="477"/>
      <c r="E130" s="440"/>
      <c r="F130" s="477"/>
      <c r="G130" s="440"/>
      <c r="H130" s="477"/>
      <c r="I130" s="440"/>
      <c r="J130" s="477"/>
      <c r="K130" s="441"/>
      <c r="L130" s="477"/>
      <c r="M130" s="441"/>
      <c r="N130" s="477"/>
      <c r="O130" s="441"/>
      <c r="P130" s="477"/>
      <c r="Q130" s="478"/>
      <c r="R130" s="477"/>
      <c r="S130" s="478"/>
      <c r="T130" s="477"/>
      <c r="U130" s="478"/>
      <c r="V130" s="477"/>
      <c r="W130" s="478"/>
      <c r="X130" s="477"/>
      <c r="Y130" s="478"/>
      <c r="Z130" s="477"/>
      <c r="AA130" s="478"/>
      <c r="AB130" s="477"/>
      <c r="AC130" s="478">
        <f t="shared" si="94"/>
        <v>0</v>
      </c>
      <c r="AD130" s="477"/>
      <c r="AE130" s="138"/>
      <c r="AF130" s="54"/>
      <c r="AH130" s="21">
        <f t="shared" si="97"/>
        <v>0</v>
      </c>
    </row>
    <row r="131" spans="1:35" s="289" customFormat="1" ht="21.75" customHeight="1" thickBot="1">
      <c r="A131" s="142"/>
      <c r="B131" s="380" t="s">
        <v>187</v>
      </c>
      <c r="C131" s="479">
        <f>C37-C41-C76-C93-C115-C129</f>
        <v>42058.479913373849</v>
      </c>
      <c r="D131" s="480">
        <f>C131/C12</f>
        <v>0.31423977461016606</v>
      </c>
      <c r="E131" s="479">
        <f>E37-E41-E76-E93-E115-E129</f>
        <v>26806.903650724595</v>
      </c>
      <c r="F131" s="480">
        <f>E131/E12</f>
        <v>0.25743800531575506</v>
      </c>
      <c r="G131" s="479">
        <f>G37-G41-G76-G93-G115-G129</f>
        <v>56640.834538708586</v>
      </c>
      <c r="H131" s="480">
        <f>G131/G12</f>
        <v>0.3279196873576456</v>
      </c>
      <c r="I131" s="479">
        <f>I37-I41-I76-I93-I115-I129</f>
        <v>41791.963724879897</v>
      </c>
      <c r="J131" s="480">
        <f>I131/I12</f>
        <v>0.27401399374319352</v>
      </c>
      <c r="K131" s="481">
        <f>K37-K41-K76-K93-K115-K129</f>
        <v>47441.601750647795</v>
      </c>
      <c r="L131" s="480">
        <f>K131/K12</f>
        <v>0.34010046236382913</v>
      </c>
      <c r="M131" s="481">
        <f>M37-M41-M76-M93-M115-M129</f>
        <v>56396.231203732168</v>
      </c>
      <c r="N131" s="480">
        <f>M131/M12</f>
        <v>0.2851188763091192</v>
      </c>
      <c r="O131" s="481">
        <f>O37-O41-O76-O93-O115-O129</f>
        <v>31889.277144097239</v>
      </c>
      <c r="P131" s="480">
        <f>O131/O12</f>
        <v>0.25464844739827708</v>
      </c>
      <c r="Q131" s="482">
        <f>Q37-Q41-Q76-Q93-Q115-Q129</f>
        <v>43931.186149718174</v>
      </c>
      <c r="R131" s="480">
        <f>Q131/Q12</f>
        <v>0.28251333509190474</v>
      </c>
      <c r="S131" s="482">
        <f>S37-S41-S76-S93-S115-S129</f>
        <v>38565.024649194216</v>
      </c>
      <c r="T131" s="480">
        <f>S131/S12</f>
        <v>0.24618785463126755</v>
      </c>
      <c r="U131" s="482">
        <f>U37-U41-U76-U93-U115-U129</f>
        <v>37220.563900431625</v>
      </c>
      <c r="V131" s="480">
        <f>U131/U12</f>
        <v>0.29955024459308216</v>
      </c>
      <c r="W131" s="482">
        <f>W37-W41-W76-W93-W115-W129</f>
        <v>42237.898113019299</v>
      </c>
      <c r="X131" s="480">
        <f>W131/W12</f>
        <v>0.33410237882408139</v>
      </c>
      <c r="Y131" s="482">
        <f>Y37-Y41-Y76-Y93-Y115-Y129</f>
        <v>66804.912318462404</v>
      </c>
      <c r="Z131" s="480">
        <f>Y131/Y12</f>
        <v>0.34979849525791806</v>
      </c>
      <c r="AA131" s="482">
        <f>AA37-AA41-AA76-AA93-AA115-AA129</f>
        <v>531784.87705699017</v>
      </c>
      <c r="AB131" s="480">
        <f>AA131/AA12</f>
        <v>0.29883184804409474</v>
      </c>
      <c r="AC131" s="483">
        <f t="shared" si="94"/>
        <v>44315.40642141585</v>
      </c>
      <c r="AD131" s="480">
        <f>AC131/AC12</f>
        <v>0.29883184804409479</v>
      </c>
      <c r="AE131" s="161"/>
      <c r="AF131" s="219"/>
      <c r="AG131" s="209"/>
      <c r="AH131" s="21">
        <f t="shared" si="97"/>
        <v>223609.73750206549</v>
      </c>
    </row>
    <row r="132" spans="1:35" s="289" customFormat="1" ht="21.75" customHeight="1" thickTop="1">
      <c r="B132" s="377"/>
      <c r="C132" s="484"/>
      <c r="D132" s="485"/>
      <c r="E132" s="484"/>
      <c r="F132" s="485"/>
      <c r="G132" s="484"/>
      <c r="H132" s="485"/>
      <c r="I132" s="484"/>
      <c r="J132" s="485"/>
      <c r="K132" s="486"/>
      <c r="L132" s="485"/>
      <c r="M132" s="486"/>
      <c r="N132" s="485"/>
      <c r="O132" s="486"/>
      <c r="P132" s="485"/>
      <c r="Q132" s="487"/>
      <c r="R132" s="485"/>
      <c r="S132" s="487"/>
      <c r="T132" s="485"/>
      <c r="U132" s="487"/>
      <c r="V132" s="485"/>
      <c r="W132" s="487"/>
      <c r="X132" s="485"/>
      <c r="Y132" s="487"/>
      <c r="Z132" s="485"/>
      <c r="AA132" s="363"/>
      <c r="AB132" s="363"/>
      <c r="AC132" s="487">
        <f t="shared" si="94"/>
        <v>0</v>
      </c>
      <c r="AD132" s="485"/>
      <c r="AE132" s="134"/>
      <c r="AF132" s="54"/>
      <c r="AH132" s="21">
        <f t="shared" si="97"/>
        <v>0</v>
      </c>
    </row>
    <row r="133" spans="1:35" s="289" customFormat="1" ht="21.75" customHeight="1" thickBot="1">
      <c r="A133" s="158"/>
      <c r="B133" s="376" t="s">
        <v>140</v>
      </c>
      <c r="C133" s="488"/>
      <c r="D133" s="489"/>
      <c r="E133" s="488"/>
      <c r="F133" s="489"/>
      <c r="G133" s="488"/>
      <c r="H133" s="489"/>
      <c r="I133" s="488"/>
      <c r="J133" s="489"/>
      <c r="K133" s="490"/>
      <c r="L133" s="489"/>
      <c r="M133" s="490"/>
      <c r="N133" s="489"/>
      <c r="O133" s="490"/>
      <c r="P133" s="489"/>
      <c r="Q133" s="488"/>
      <c r="R133" s="489"/>
      <c r="S133" s="488"/>
      <c r="T133" s="489"/>
      <c r="U133" s="488"/>
      <c r="V133" s="489"/>
      <c r="W133" s="488"/>
      <c r="X133" s="489"/>
      <c r="Y133" s="488"/>
      <c r="Z133" s="489"/>
      <c r="AA133" s="491">
        <f>C133+E133+G133+I133+K133+M133+O133+Q133+S133+U133+W133+Y133</f>
        <v>0</v>
      </c>
      <c r="AB133" s="489">
        <f>AA133/AA$12</f>
        <v>0</v>
      </c>
      <c r="AC133" s="491">
        <f t="shared" si="94"/>
        <v>0</v>
      </c>
      <c r="AD133" s="489">
        <f>AC133/AC$12</f>
        <v>0</v>
      </c>
      <c r="AE133" s="224"/>
      <c r="AF133" s="219"/>
      <c r="AG133" s="209"/>
      <c r="AH133" s="21">
        <f t="shared" si="97"/>
        <v>0</v>
      </c>
    </row>
    <row r="134" spans="1:35" s="289" customFormat="1" ht="21.75" customHeight="1" thickTop="1">
      <c r="B134" s="379"/>
      <c r="C134" s="484"/>
      <c r="D134" s="485"/>
      <c r="E134" s="484"/>
      <c r="F134" s="485"/>
      <c r="G134" s="484"/>
      <c r="H134" s="485"/>
      <c r="I134" s="484"/>
      <c r="J134" s="485"/>
      <c r="K134" s="486"/>
      <c r="L134" s="485"/>
      <c r="M134" s="486"/>
      <c r="N134" s="485"/>
      <c r="O134" s="486"/>
      <c r="P134" s="485"/>
      <c r="Q134" s="487"/>
      <c r="R134" s="485"/>
      <c r="S134" s="487"/>
      <c r="T134" s="485"/>
      <c r="U134" s="487"/>
      <c r="V134" s="485"/>
      <c r="W134" s="487"/>
      <c r="X134" s="485"/>
      <c r="Y134" s="487"/>
      <c r="Z134" s="485"/>
      <c r="AA134" s="363"/>
      <c r="AB134" s="363"/>
      <c r="AC134" s="487">
        <f t="shared" si="94"/>
        <v>0</v>
      </c>
      <c r="AD134" s="485"/>
      <c r="AE134" s="134"/>
      <c r="AF134" s="54"/>
      <c r="AH134" s="21">
        <f t="shared" si="97"/>
        <v>0</v>
      </c>
    </row>
    <row r="135" spans="1:35" s="289" customFormat="1" ht="21.75" customHeight="1" thickBot="1">
      <c r="A135" s="4"/>
      <c r="B135" s="376" t="s">
        <v>131</v>
      </c>
      <c r="C135" s="419">
        <f>C131-C133</f>
        <v>42058.479913373849</v>
      </c>
      <c r="D135" s="421">
        <f>C135/C12</f>
        <v>0.31423977461016606</v>
      </c>
      <c r="E135" s="419">
        <f>E131-E133</f>
        <v>26806.903650724595</v>
      </c>
      <c r="F135" s="421">
        <f>E135/E12</f>
        <v>0.25743800531575506</v>
      </c>
      <c r="G135" s="419">
        <f>G131-G133</f>
        <v>56640.834538708586</v>
      </c>
      <c r="H135" s="421">
        <f>G135/G12</f>
        <v>0.3279196873576456</v>
      </c>
      <c r="I135" s="419">
        <f>I131-I133</f>
        <v>41791.963724879897</v>
      </c>
      <c r="J135" s="421">
        <f>I135/I12</f>
        <v>0.27401399374319352</v>
      </c>
      <c r="K135" s="442">
        <f>K131-K133</f>
        <v>47441.601750647795</v>
      </c>
      <c r="L135" s="421">
        <f>K135/K12</f>
        <v>0.34010046236382913</v>
      </c>
      <c r="M135" s="442">
        <f>M131-M133</f>
        <v>56396.231203732168</v>
      </c>
      <c r="N135" s="421">
        <f>M135/M12</f>
        <v>0.2851188763091192</v>
      </c>
      <c r="O135" s="442">
        <f>O131-O133</f>
        <v>31889.277144097239</v>
      </c>
      <c r="P135" s="421">
        <f>O135/O12</f>
        <v>0.25464844739827708</v>
      </c>
      <c r="Q135" s="443">
        <f>Q131-Q133</f>
        <v>43931.186149718174</v>
      </c>
      <c r="R135" s="421">
        <f>Q135/Q12</f>
        <v>0.28251333509190474</v>
      </c>
      <c r="S135" s="443">
        <f>S131-S133</f>
        <v>38565.024649194216</v>
      </c>
      <c r="T135" s="421">
        <f>S135/S12</f>
        <v>0.24618785463126755</v>
      </c>
      <c r="U135" s="443">
        <f>U131-U133</f>
        <v>37220.563900431625</v>
      </c>
      <c r="V135" s="421">
        <f>U135/U12</f>
        <v>0.29955024459308216</v>
      </c>
      <c r="W135" s="443">
        <f>W131-W133</f>
        <v>42237.898113019299</v>
      </c>
      <c r="X135" s="421">
        <f>W135/W12</f>
        <v>0.33410237882408139</v>
      </c>
      <c r="Y135" s="443">
        <f>Y131-Y133</f>
        <v>66804.912318462404</v>
      </c>
      <c r="Z135" s="421">
        <f>Y135/Y12</f>
        <v>0.34979849525791806</v>
      </c>
      <c r="AA135" s="443">
        <f>AA131-AA133</f>
        <v>531784.87705699017</v>
      </c>
      <c r="AB135" s="492">
        <f>AA135/AA12</f>
        <v>0.29883184804409474</v>
      </c>
      <c r="AC135" s="443">
        <f t="shared" si="94"/>
        <v>44315.40642141585</v>
      </c>
      <c r="AD135" s="421">
        <f>AC135/AC12</f>
        <v>0.29883184804409479</v>
      </c>
      <c r="AE135" s="225"/>
      <c r="AF135" s="219"/>
      <c r="AG135" s="209"/>
      <c r="AH135" s="21">
        <f t="shared" si="97"/>
        <v>223609.73750206549</v>
      </c>
    </row>
    <row r="136" spans="1:35" s="289" customFormat="1" ht="21.75" customHeight="1" thickTop="1">
      <c r="A136" s="20">
        <v>6501</v>
      </c>
      <c r="B136" s="378"/>
      <c r="C136" s="440"/>
      <c r="D136" s="415">
        <f t="shared" ref="D136:D143" si="139">C136/C$12</f>
        <v>0</v>
      </c>
      <c r="E136" s="440"/>
      <c r="F136" s="415">
        <f t="shared" ref="F136:F143" si="140">E136/E$12</f>
        <v>0</v>
      </c>
      <c r="G136" s="440"/>
      <c r="H136" s="415">
        <f t="shared" ref="H136:H143" si="141">G136/G$12</f>
        <v>0</v>
      </c>
      <c r="I136" s="440"/>
      <c r="J136" s="415">
        <f t="shared" ref="J136:J143" si="142">I136/I$12</f>
        <v>0</v>
      </c>
      <c r="K136" s="441"/>
      <c r="L136" s="415">
        <f t="shared" ref="L136:L143" si="143">K136/K$12</f>
        <v>0</v>
      </c>
      <c r="M136" s="441"/>
      <c r="N136" s="415">
        <f t="shared" ref="N136:N143" si="144">M136/M$12</f>
        <v>0</v>
      </c>
      <c r="O136" s="441"/>
      <c r="P136" s="415">
        <f t="shared" ref="P136:P143" si="145">O136/O$12</f>
        <v>0</v>
      </c>
      <c r="Q136" s="478"/>
      <c r="R136" s="415">
        <f t="shared" ref="R136:R143" si="146">Q136/Q$12</f>
        <v>0</v>
      </c>
      <c r="S136" s="478"/>
      <c r="T136" s="415">
        <f t="shared" ref="T136:T146" si="147">S136/S$12</f>
        <v>0</v>
      </c>
      <c r="U136" s="478"/>
      <c r="V136" s="415">
        <f t="shared" ref="V136:V143" si="148">U136/U$12</f>
        <v>0</v>
      </c>
      <c r="W136" s="478"/>
      <c r="X136" s="415">
        <f t="shared" ref="X136:X143" si="149">W136/W$12</f>
        <v>0</v>
      </c>
      <c r="Y136" s="478"/>
      <c r="Z136" s="415">
        <f t="shared" ref="Z136:Z146" si="150">Y136/Y$12</f>
        <v>0</v>
      </c>
      <c r="AA136" s="405">
        <f t="shared" ref="AA136:AA143" si="151">C136+E136+G136+I136+K136+M136+O136+Q136+S136+U136+W136+Y136</f>
        <v>0</v>
      </c>
      <c r="AB136" s="416">
        <f t="shared" ref="AB136:AB146" si="152">AA136/AA$12</f>
        <v>0</v>
      </c>
      <c r="AC136" s="476">
        <f t="shared" si="94"/>
        <v>0</v>
      </c>
      <c r="AD136" s="417">
        <f t="shared" ref="AD136:AD146" si="153">AC136/AC$12</f>
        <v>0</v>
      </c>
      <c r="AE136" s="214"/>
      <c r="AF136" s="54"/>
      <c r="AH136" s="21">
        <f t="shared" si="97"/>
        <v>0</v>
      </c>
    </row>
    <row r="137" spans="1:35" s="289" customFormat="1" ht="21.75" customHeight="1">
      <c r="A137" s="2">
        <v>6502</v>
      </c>
      <c r="B137" s="378" t="s">
        <v>127</v>
      </c>
      <c r="C137" s="493">
        <v>9258.77</v>
      </c>
      <c r="D137" s="415">
        <f t="shared" si="139"/>
        <v>6.9176865259036782E-2</v>
      </c>
      <c r="E137" s="493">
        <v>9258.77</v>
      </c>
      <c r="F137" s="415">
        <f t="shared" si="140"/>
        <v>8.8915874490149316E-2</v>
      </c>
      <c r="G137" s="493">
        <v>9258.77</v>
      </c>
      <c r="H137" s="415">
        <f t="shared" si="141"/>
        <v>5.3603252643487136E-2</v>
      </c>
      <c r="I137" s="493">
        <v>9258.77</v>
      </c>
      <c r="J137" s="415">
        <f t="shared" si="142"/>
        <v>6.0706229588807357E-2</v>
      </c>
      <c r="K137" s="493">
        <v>9258.77</v>
      </c>
      <c r="L137" s="415">
        <f t="shared" si="143"/>
        <v>6.6374486562889981E-2</v>
      </c>
      <c r="M137" s="493">
        <v>9258.77</v>
      </c>
      <c r="N137" s="415">
        <f t="shared" si="144"/>
        <v>4.6808980707737168E-2</v>
      </c>
      <c r="O137" s="493">
        <v>9258.77</v>
      </c>
      <c r="P137" s="415">
        <f t="shared" si="145"/>
        <v>7.3934927865060313E-2</v>
      </c>
      <c r="Q137" s="493">
        <v>9258.77</v>
      </c>
      <c r="R137" s="415">
        <f t="shared" si="146"/>
        <v>5.9541437889576665E-2</v>
      </c>
      <c r="S137" s="493">
        <v>9258.77</v>
      </c>
      <c r="T137" s="415">
        <f t="shared" si="147"/>
        <v>5.9105283700939294E-2</v>
      </c>
      <c r="U137" s="493">
        <v>9258.77</v>
      </c>
      <c r="V137" s="415">
        <f t="shared" si="148"/>
        <v>7.4514368604150269E-2</v>
      </c>
      <c r="W137" s="493">
        <v>9258.77</v>
      </c>
      <c r="X137" s="415">
        <f t="shared" si="149"/>
        <v>7.3237003264410683E-2</v>
      </c>
      <c r="Y137" s="493">
        <v>9258.77</v>
      </c>
      <c r="Z137" s="415">
        <f t="shared" si="150"/>
        <v>4.848002491942642E-2</v>
      </c>
      <c r="AA137" s="405">
        <f t="shared" si="151"/>
        <v>111105.24000000003</v>
      </c>
      <c r="AB137" s="416">
        <f t="shared" si="152"/>
        <v>6.2434615253311405E-2</v>
      </c>
      <c r="AC137" s="476">
        <f t="shared" si="94"/>
        <v>9258.7700000000023</v>
      </c>
      <c r="AD137" s="417">
        <f t="shared" si="153"/>
        <v>6.2434615253311405E-2</v>
      </c>
      <c r="AE137" s="214" t="s">
        <v>148</v>
      </c>
      <c r="AF137" s="54"/>
      <c r="AG137" s="289" t="s">
        <v>148</v>
      </c>
      <c r="AH137" s="21">
        <f t="shared" si="97"/>
        <v>47127.139300000003</v>
      </c>
    </row>
    <row r="138" spans="1:35" s="289" customFormat="1" ht="21.75" customHeight="1">
      <c r="A138" s="2">
        <v>6503</v>
      </c>
      <c r="B138" s="378" t="s">
        <v>128</v>
      </c>
      <c r="C138" s="493">
        <v>834.84</v>
      </c>
      <c r="D138" s="415">
        <f t="shared" si="139"/>
        <v>6.2375039225355273E-3</v>
      </c>
      <c r="E138" s="493">
        <v>834.84</v>
      </c>
      <c r="F138" s="415">
        <f t="shared" si="140"/>
        <v>8.0173207304378713E-3</v>
      </c>
      <c r="G138" s="493">
        <v>834.84</v>
      </c>
      <c r="H138" s="415">
        <f t="shared" si="141"/>
        <v>4.8332704491945259E-3</v>
      </c>
      <c r="I138" s="493">
        <v>834.84</v>
      </c>
      <c r="J138" s="415">
        <f t="shared" si="142"/>
        <v>5.4737280124595314E-3</v>
      </c>
      <c r="K138" s="493">
        <v>834.84</v>
      </c>
      <c r="L138" s="415">
        <f t="shared" si="143"/>
        <v>5.9848204850280412E-3</v>
      </c>
      <c r="M138" s="493">
        <v>834.84</v>
      </c>
      <c r="N138" s="415">
        <f t="shared" si="144"/>
        <v>4.2206480400795452E-3</v>
      </c>
      <c r="O138" s="493">
        <v>834.84</v>
      </c>
      <c r="P138" s="415">
        <f t="shared" si="145"/>
        <v>6.6665264585757025E-3</v>
      </c>
      <c r="Q138" s="493">
        <v>834.84</v>
      </c>
      <c r="R138" s="415">
        <f t="shared" si="146"/>
        <v>5.3687016750318005E-3</v>
      </c>
      <c r="S138" s="493">
        <v>834.84</v>
      </c>
      <c r="T138" s="415">
        <f t="shared" si="147"/>
        <v>5.3293747490100914E-3</v>
      </c>
      <c r="U138" s="493">
        <v>834.84</v>
      </c>
      <c r="V138" s="415">
        <f t="shared" si="148"/>
        <v>6.7187731724072212E-3</v>
      </c>
      <c r="W138" s="493">
        <v>834.84</v>
      </c>
      <c r="X138" s="415">
        <f t="shared" si="149"/>
        <v>6.6035963529994393E-3</v>
      </c>
      <c r="Y138" s="493">
        <v>834.84</v>
      </c>
      <c r="Z138" s="415">
        <f t="shared" si="150"/>
        <v>4.3713218930520959E-3</v>
      </c>
      <c r="AA138" s="405">
        <f t="shared" si="151"/>
        <v>10018.08</v>
      </c>
      <c r="AB138" s="416">
        <f t="shared" si="152"/>
        <v>5.6295721999870913E-3</v>
      </c>
      <c r="AC138" s="476">
        <f t="shared" si="94"/>
        <v>834.84</v>
      </c>
      <c r="AD138" s="417">
        <f t="shared" si="153"/>
        <v>5.6295721999870913E-3</v>
      </c>
      <c r="AE138" s="214" t="s">
        <v>148</v>
      </c>
      <c r="AF138" s="54"/>
      <c r="AG138" s="289" t="s">
        <v>148</v>
      </c>
      <c r="AH138" s="21">
        <f t="shared" si="97"/>
        <v>4249.3356000000003</v>
      </c>
      <c r="AI138" s="64">
        <f>AH137+AH138</f>
        <v>51376.474900000001</v>
      </c>
    </row>
    <row r="139" spans="1:35" s="289" customFormat="1" ht="21.75" customHeight="1">
      <c r="A139" s="2">
        <v>6504</v>
      </c>
      <c r="B139" s="378" t="s">
        <v>129</v>
      </c>
      <c r="C139" s="494"/>
      <c r="D139" s="415">
        <f t="shared" si="139"/>
        <v>0</v>
      </c>
      <c r="E139" s="494"/>
      <c r="F139" s="415">
        <f t="shared" si="140"/>
        <v>0</v>
      </c>
      <c r="G139" s="494"/>
      <c r="H139" s="415">
        <f t="shared" si="141"/>
        <v>0</v>
      </c>
      <c r="I139" s="494"/>
      <c r="J139" s="415">
        <f t="shared" si="142"/>
        <v>0</v>
      </c>
      <c r="K139" s="494"/>
      <c r="L139" s="415">
        <f t="shared" si="143"/>
        <v>0</v>
      </c>
      <c r="M139" s="494"/>
      <c r="N139" s="415">
        <f t="shared" si="144"/>
        <v>0</v>
      </c>
      <c r="O139" s="494"/>
      <c r="P139" s="415">
        <f t="shared" si="145"/>
        <v>0</v>
      </c>
      <c r="Q139" s="494"/>
      <c r="R139" s="415">
        <f t="shared" si="146"/>
        <v>0</v>
      </c>
      <c r="S139" s="494"/>
      <c r="T139" s="415">
        <f t="shared" si="147"/>
        <v>0</v>
      </c>
      <c r="U139" s="494"/>
      <c r="V139" s="415">
        <f t="shared" si="148"/>
        <v>0</v>
      </c>
      <c r="W139" s="494"/>
      <c r="X139" s="415">
        <f t="shared" si="149"/>
        <v>0</v>
      </c>
      <c r="Y139" s="494"/>
      <c r="Z139" s="415">
        <f t="shared" si="150"/>
        <v>0</v>
      </c>
      <c r="AA139" s="405">
        <f t="shared" si="151"/>
        <v>0</v>
      </c>
      <c r="AB139" s="416">
        <f t="shared" si="152"/>
        <v>0</v>
      </c>
      <c r="AC139" s="407">
        <f t="shared" si="94"/>
        <v>0</v>
      </c>
      <c r="AD139" s="417">
        <f t="shared" si="153"/>
        <v>0</v>
      </c>
      <c r="AE139" s="214" t="s">
        <v>148</v>
      </c>
      <c r="AF139" s="54"/>
      <c r="AG139" s="289" t="s">
        <v>148</v>
      </c>
      <c r="AH139" s="21">
        <f t="shared" si="97"/>
        <v>0</v>
      </c>
    </row>
    <row r="140" spans="1:35" s="289" customFormat="1" ht="21.75" customHeight="1">
      <c r="A140" s="2">
        <v>6505</v>
      </c>
      <c r="B140" s="371" t="s">
        <v>130</v>
      </c>
      <c r="C140" s="494"/>
      <c r="D140" s="415">
        <f t="shared" si="139"/>
        <v>0</v>
      </c>
      <c r="E140" s="495"/>
      <c r="F140" s="415">
        <f t="shared" si="140"/>
        <v>0</v>
      </c>
      <c r="G140" s="495"/>
      <c r="H140" s="415">
        <f t="shared" si="141"/>
        <v>0</v>
      </c>
      <c r="I140" s="495"/>
      <c r="J140" s="415">
        <f t="shared" si="142"/>
        <v>0</v>
      </c>
      <c r="K140" s="496"/>
      <c r="L140" s="415">
        <f t="shared" si="143"/>
        <v>0</v>
      </c>
      <c r="M140" s="496"/>
      <c r="N140" s="415">
        <f t="shared" si="144"/>
        <v>0</v>
      </c>
      <c r="O140" s="496"/>
      <c r="P140" s="415">
        <f t="shared" si="145"/>
        <v>0</v>
      </c>
      <c r="Q140" s="497"/>
      <c r="R140" s="415">
        <f t="shared" si="146"/>
        <v>0</v>
      </c>
      <c r="S140" s="497"/>
      <c r="T140" s="415">
        <f t="shared" si="147"/>
        <v>0</v>
      </c>
      <c r="U140" s="497"/>
      <c r="V140" s="415">
        <f t="shared" si="148"/>
        <v>0</v>
      </c>
      <c r="W140" s="497"/>
      <c r="X140" s="415">
        <f t="shared" si="149"/>
        <v>0</v>
      </c>
      <c r="Y140" s="497"/>
      <c r="Z140" s="415">
        <f t="shared" si="150"/>
        <v>0</v>
      </c>
      <c r="AA140" s="405">
        <f t="shared" si="151"/>
        <v>0</v>
      </c>
      <c r="AB140" s="416">
        <f t="shared" si="152"/>
        <v>0</v>
      </c>
      <c r="AC140" s="407">
        <f t="shared" si="94"/>
        <v>0</v>
      </c>
      <c r="AD140" s="417">
        <f t="shared" si="153"/>
        <v>0</v>
      </c>
      <c r="AE140" s="214"/>
      <c r="AF140" s="54"/>
      <c r="AH140" s="21">
        <f t="shared" si="97"/>
        <v>0</v>
      </c>
    </row>
    <row r="141" spans="1:35" s="289" customFormat="1" ht="21.75" customHeight="1">
      <c r="A141" s="2">
        <v>6506</v>
      </c>
      <c r="B141" s="371" t="s">
        <v>202</v>
      </c>
      <c r="C141" s="496"/>
      <c r="D141" s="499">
        <f>C141/C12</f>
        <v>0</v>
      </c>
      <c r="E141" s="496"/>
      <c r="F141" s="499">
        <f>E141/E12</f>
        <v>0</v>
      </c>
      <c r="G141" s="496"/>
      <c r="H141" s="499">
        <f>G141/G12</f>
        <v>0</v>
      </c>
      <c r="I141" s="496"/>
      <c r="J141" s="499">
        <f>I141/I12</f>
        <v>0</v>
      </c>
      <c r="K141" s="496"/>
      <c r="L141" s="499">
        <f>K141/K12</f>
        <v>0</v>
      </c>
      <c r="M141" s="496"/>
      <c r="N141" s="499">
        <f>M141/M12</f>
        <v>0</v>
      </c>
      <c r="O141" s="496"/>
      <c r="P141" s="499">
        <f>O141/O12</f>
        <v>0</v>
      </c>
      <c r="Q141" s="496"/>
      <c r="R141" s="499">
        <f>Q141/Q12</f>
        <v>0</v>
      </c>
      <c r="S141" s="496"/>
      <c r="T141" s="499">
        <f>S141/S12</f>
        <v>0</v>
      </c>
      <c r="U141" s="496"/>
      <c r="V141" s="499">
        <f>U141/U12</f>
        <v>0</v>
      </c>
      <c r="W141" s="496"/>
      <c r="X141" s="499">
        <f>W141/W12</f>
        <v>0</v>
      </c>
      <c r="Y141" s="496"/>
      <c r="Z141" s="499">
        <f>Y141/Y12</f>
        <v>0</v>
      </c>
      <c r="AA141" s="405">
        <f t="shared" si="151"/>
        <v>0</v>
      </c>
      <c r="AB141" s="416">
        <f t="shared" si="152"/>
        <v>0</v>
      </c>
      <c r="AC141" s="407">
        <f t="shared" si="94"/>
        <v>0</v>
      </c>
      <c r="AD141" s="417">
        <f t="shared" si="153"/>
        <v>0</v>
      </c>
      <c r="AF141" s="64"/>
      <c r="AH141" s="21">
        <f t="shared" si="97"/>
        <v>0</v>
      </c>
    </row>
    <row r="142" spans="1:35" s="289" customFormat="1" ht="21.75" customHeight="1">
      <c r="A142" s="128">
        <v>6604</v>
      </c>
      <c r="B142" s="371" t="s">
        <v>136</v>
      </c>
      <c r="C142" s="418"/>
      <c r="D142" s="415">
        <f t="shared" si="139"/>
        <v>0</v>
      </c>
      <c r="E142" s="418"/>
      <c r="F142" s="415">
        <f t="shared" si="140"/>
        <v>0</v>
      </c>
      <c r="G142" s="418"/>
      <c r="H142" s="415">
        <f t="shared" si="141"/>
        <v>0</v>
      </c>
      <c r="I142" s="418"/>
      <c r="J142" s="415">
        <f t="shared" si="142"/>
        <v>0</v>
      </c>
      <c r="K142" s="418"/>
      <c r="L142" s="415">
        <f t="shared" si="143"/>
        <v>0</v>
      </c>
      <c r="M142" s="418"/>
      <c r="N142" s="415">
        <f t="shared" si="144"/>
        <v>0</v>
      </c>
      <c r="O142" s="418"/>
      <c r="P142" s="415">
        <f t="shared" si="145"/>
        <v>0</v>
      </c>
      <c r="Q142" s="418"/>
      <c r="R142" s="415">
        <f t="shared" si="146"/>
        <v>0</v>
      </c>
      <c r="S142" s="418"/>
      <c r="T142" s="415">
        <f t="shared" si="147"/>
        <v>0</v>
      </c>
      <c r="U142" s="418"/>
      <c r="V142" s="415">
        <f t="shared" si="148"/>
        <v>0</v>
      </c>
      <c r="W142" s="418"/>
      <c r="X142" s="415">
        <f t="shared" si="149"/>
        <v>0</v>
      </c>
      <c r="Y142" s="418"/>
      <c r="Z142" s="415">
        <f t="shared" si="150"/>
        <v>0</v>
      </c>
      <c r="AA142" s="405">
        <f t="shared" si="151"/>
        <v>0</v>
      </c>
      <c r="AB142" s="416">
        <f t="shared" si="152"/>
        <v>0</v>
      </c>
      <c r="AC142" s="407">
        <f t="shared" si="94"/>
        <v>0</v>
      </c>
      <c r="AD142" s="417">
        <f t="shared" si="153"/>
        <v>0</v>
      </c>
      <c r="AE142" s="214"/>
      <c r="AF142" s="54"/>
      <c r="AH142" s="21">
        <f t="shared" si="97"/>
        <v>0</v>
      </c>
    </row>
    <row r="143" spans="1:35" s="289" customFormat="1" ht="21.75" customHeight="1">
      <c r="A143" s="2"/>
      <c r="B143" s="371" t="s">
        <v>217</v>
      </c>
      <c r="C143" s="418"/>
      <c r="D143" s="415">
        <f t="shared" si="139"/>
        <v>0</v>
      </c>
      <c r="E143" s="418"/>
      <c r="F143" s="415">
        <f t="shared" si="140"/>
        <v>0</v>
      </c>
      <c r="G143" s="418"/>
      <c r="H143" s="415">
        <f t="shared" si="141"/>
        <v>0</v>
      </c>
      <c r="I143" s="418"/>
      <c r="J143" s="415">
        <f t="shared" si="142"/>
        <v>0</v>
      </c>
      <c r="K143" s="397"/>
      <c r="L143" s="415">
        <f t="shared" si="143"/>
        <v>0</v>
      </c>
      <c r="M143" s="397"/>
      <c r="N143" s="415">
        <f t="shared" si="144"/>
        <v>0</v>
      </c>
      <c r="O143" s="397"/>
      <c r="P143" s="415">
        <f t="shared" si="145"/>
        <v>0</v>
      </c>
      <c r="Q143" s="412"/>
      <c r="R143" s="415">
        <f t="shared" si="146"/>
        <v>0</v>
      </c>
      <c r="S143" s="412"/>
      <c r="T143" s="415">
        <f t="shared" si="147"/>
        <v>0</v>
      </c>
      <c r="U143" s="412"/>
      <c r="V143" s="415">
        <f t="shared" si="148"/>
        <v>0</v>
      </c>
      <c r="W143" s="412"/>
      <c r="X143" s="415">
        <f t="shared" si="149"/>
        <v>0</v>
      </c>
      <c r="Y143" s="412"/>
      <c r="Z143" s="500">
        <f t="shared" si="150"/>
        <v>0</v>
      </c>
      <c r="AA143" s="405">
        <f t="shared" si="151"/>
        <v>0</v>
      </c>
      <c r="AB143" s="416">
        <f t="shared" si="152"/>
        <v>0</v>
      </c>
      <c r="AC143" s="407">
        <f t="shared" si="94"/>
        <v>0</v>
      </c>
      <c r="AD143" s="417">
        <f t="shared" si="153"/>
        <v>0</v>
      </c>
      <c r="AE143" s="214"/>
      <c r="AF143" s="54"/>
      <c r="AH143" s="21">
        <f t="shared" si="97"/>
        <v>0</v>
      </c>
    </row>
    <row r="144" spans="1:35" s="289" customFormat="1" ht="21.75" customHeight="1">
      <c r="A144" s="48">
        <v>6798</v>
      </c>
      <c r="B144" s="381" t="s">
        <v>188</v>
      </c>
      <c r="C144" s="444">
        <f>SUM(C136:C143)</f>
        <v>10093.61</v>
      </c>
      <c r="D144" s="445">
        <f>C144/C12</f>
        <v>7.5414369181572308E-2</v>
      </c>
      <c r="E144" s="444">
        <f>SUM(E136:E143)</f>
        <v>10093.61</v>
      </c>
      <c r="F144" s="445">
        <f>E144/E12</f>
        <v>9.6933195220587187E-2</v>
      </c>
      <c r="G144" s="444">
        <f>SUM(G136:G143)</f>
        <v>10093.61</v>
      </c>
      <c r="H144" s="445">
        <f>G144/G12</f>
        <v>5.8436523092681665E-2</v>
      </c>
      <c r="I144" s="444">
        <f>SUM(I136:I143)</f>
        <v>10093.61</v>
      </c>
      <c r="J144" s="445">
        <f>I144/I12</f>
        <v>6.6179957601266895E-2</v>
      </c>
      <c r="K144" s="444">
        <f>SUM(K136:K143)</f>
        <v>10093.61</v>
      </c>
      <c r="L144" s="445">
        <f>K144/K12</f>
        <v>7.2359307047918028E-2</v>
      </c>
      <c r="M144" s="444">
        <f>SUM(M136:M143)</f>
        <v>10093.61</v>
      </c>
      <c r="N144" s="445">
        <f>M144/M12</f>
        <v>5.1029628747816712E-2</v>
      </c>
      <c r="O144" s="444">
        <f>SUM(O136:O143)</f>
        <v>10093.61</v>
      </c>
      <c r="P144" s="445">
        <f>O144/O12</f>
        <v>8.0601454323636024E-2</v>
      </c>
      <c r="Q144" s="444">
        <f>SUM(Q136:Q143)</f>
        <v>10093.61</v>
      </c>
      <c r="R144" s="445">
        <f>Q144/Q12</f>
        <v>6.4910139564608463E-2</v>
      </c>
      <c r="S144" s="444">
        <f>SUM(S136:S143)</f>
        <v>10093.61</v>
      </c>
      <c r="T144" s="445">
        <f t="shared" si="147"/>
        <v>6.4434658449949389E-2</v>
      </c>
      <c r="U144" s="444">
        <f>SUM(U136:U143)</f>
        <v>10093.61</v>
      </c>
      <c r="V144" s="445">
        <f>U144/U12</f>
        <v>8.1233141776557494E-2</v>
      </c>
      <c r="W144" s="444">
        <f>SUM(W136:W143)</f>
        <v>10093.61</v>
      </c>
      <c r="X144" s="445">
        <f>W144/W12</f>
        <v>7.9840599617410135E-2</v>
      </c>
      <c r="Y144" s="444">
        <f>SUM(Y136:Y143)</f>
        <v>10093.61</v>
      </c>
      <c r="Z144" s="445">
        <f t="shared" si="150"/>
        <v>5.2851346812478515E-2</v>
      </c>
      <c r="AA144" s="448">
        <f>SUM(AA136:AA143)</f>
        <v>121123.32000000004</v>
      </c>
      <c r="AB144" s="449">
        <f t="shared" si="152"/>
        <v>6.8064187453298494E-2</v>
      </c>
      <c r="AC144" s="450">
        <f t="shared" ref="AC144:AC152" si="154">AA144/12</f>
        <v>10093.610000000002</v>
      </c>
      <c r="AD144" s="451">
        <f t="shared" si="153"/>
        <v>6.8064187453298494E-2</v>
      </c>
      <c r="AE144" s="215"/>
      <c r="AF144" s="54"/>
      <c r="AH144" s="21">
        <f t="shared" si="97"/>
        <v>51376.474900000001</v>
      </c>
    </row>
    <row r="145" spans="1:34" s="289" customFormat="1" ht="21.75" customHeight="1">
      <c r="A145" s="48">
        <v>6799</v>
      </c>
      <c r="B145" s="381" t="s">
        <v>126</v>
      </c>
      <c r="C145" s="444">
        <f>C41+C76+C93+C115+C129+C144+C133</f>
        <v>34324.298886626144</v>
      </c>
      <c r="D145" s="445">
        <f>C145/C12</f>
        <v>0.25645387013513055</v>
      </c>
      <c r="E145" s="444">
        <f>E41+E76+E93+E115+E129+E144+E133</f>
        <v>35867.910477728758</v>
      </c>
      <c r="F145" s="445">
        <f>E145/E12</f>
        <v>0.34445467662136997</v>
      </c>
      <c r="G145" s="444">
        <f>G41+G76+G93+G115+G129+G144+G133</f>
        <v>35590.282477638997</v>
      </c>
      <c r="H145" s="445">
        <f>G145/G12</f>
        <v>0.20604841715497377</v>
      </c>
      <c r="I145" s="444">
        <f>I41+I76+I93+I115+I129+I144+I133</f>
        <v>38584.285807526961</v>
      </c>
      <c r="J145" s="445">
        <f>I145/I12</f>
        <v>0.25298247097097054</v>
      </c>
      <c r="K145" s="446">
        <f>K41+K76+K93+K115+K129+K144+K133</f>
        <v>36726.183412380276</v>
      </c>
      <c r="L145" s="445">
        <f>K145/K12</f>
        <v>0.26328352118167614</v>
      </c>
      <c r="M145" s="446">
        <f>M41+M76+M93+M115+M129+M144+M133</f>
        <v>36820.761618630801</v>
      </c>
      <c r="N145" s="445">
        <f>M145/M12</f>
        <v>0.18615240688025278</v>
      </c>
      <c r="O145" s="446">
        <f>O41+O76+O93+O115+O129+O144+O133</f>
        <v>36723.947749108018</v>
      </c>
      <c r="P145" s="445">
        <f>O145/O12</f>
        <v>0.29325519780171072</v>
      </c>
      <c r="Q145" s="447">
        <f>Q41+Q76+Q93+Q115+Q129+Q144+Q133</f>
        <v>40621.939566691493</v>
      </c>
      <c r="R145" s="445">
        <f>Q145/Q12</f>
        <v>0.26123218220825206</v>
      </c>
      <c r="S145" s="447">
        <f>S41+S76+S93+S115+S129+S144+S133</f>
        <v>37766.334132352393</v>
      </c>
      <c r="T145" s="445">
        <f t="shared" si="147"/>
        <v>0.24108924762545728</v>
      </c>
      <c r="U145" s="447">
        <f>U41+U76+U93+U115+U129+U144+U133</f>
        <v>37981.681381477742</v>
      </c>
      <c r="V145" s="445">
        <f>U145/U12</f>
        <v>0.30567570062382193</v>
      </c>
      <c r="W145" s="447">
        <f>W41+W76+W93+W115+W129+W144+W133</f>
        <v>36732.135616371648</v>
      </c>
      <c r="X145" s="445">
        <f>W145/W12</f>
        <v>0.29055171864567175</v>
      </c>
      <c r="Y145" s="447">
        <f>Y41+Y76+Y93+Y115+Y129+Y144+Y133</f>
        <v>37406.984044746641</v>
      </c>
      <c r="Z145" s="445">
        <f t="shared" si="150"/>
        <v>0.19586743364938361</v>
      </c>
      <c r="AA145" s="447">
        <f>AA41+AA76+AA93+AA115+AA129+AA144+AA133</f>
        <v>445146.74517128</v>
      </c>
      <c r="AB145" s="449">
        <f t="shared" si="152"/>
        <v>0.25014630962529505</v>
      </c>
      <c r="AC145" s="447">
        <f t="shared" si="154"/>
        <v>37095.562097606664</v>
      </c>
      <c r="AD145" s="451">
        <f t="shared" si="153"/>
        <v>0.25014630962529505</v>
      </c>
      <c r="AE145" s="215"/>
      <c r="AF145" s="54"/>
      <c r="AH145" s="21">
        <f t="shared" si="97"/>
        <v>206765.67239445969</v>
      </c>
    </row>
    <row r="146" spans="1:34" s="289" customFormat="1" ht="21.75" customHeight="1" thickBot="1">
      <c r="A146" s="11">
        <v>6999</v>
      </c>
      <c r="B146" s="382" t="s">
        <v>135</v>
      </c>
      <c r="C146" s="452">
        <f>C135-C144</f>
        <v>31964.869913373848</v>
      </c>
      <c r="D146" s="454">
        <f>C146/C12</f>
        <v>0.23882540542859379</v>
      </c>
      <c r="E146" s="452">
        <f>E135-E144</f>
        <v>16713.293650724594</v>
      </c>
      <c r="F146" s="454">
        <f>E146/E12</f>
        <v>0.16050481009516787</v>
      </c>
      <c r="G146" s="452">
        <f>G135-G144</f>
        <v>46547.224538708586</v>
      </c>
      <c r="H146" s="454">
        <f>G146/G12</f>
        <v>0.26948316426496394</v>
      </c>
      <c r="I146" s="452">
        <f>I135-I144</f>
        <v>31698.353724879897</v>
      </c>
      <c r="J146" s="454">
        <f>I146/I12</f>
        <v>0.20783403614192661</v>
      </c>
      <c r="K146" s="455">
        <f>K135-K144</f>
        <v>37347.991750647794</v>
      </c>
      <c r="L146" s="454">
        <f>K146/K12</f>
        <v>0.26774115531591108</v>
      </c>
      <c r="M146" s="455">
        <f>M135-M144</f>
        <v>46302.621203732167</v>
      </c>
      <c r="N146" s="454">
        <f>M146/M12</f>
        <v>0.2340892475613025</v>
      </c>
      <c r="O146" s="455">
        <f>O135-O144</f>
        <v>21795.667144097239</v>
      </c>
      <c r="P146" s="454">
        <f>O146/O12</f>
        <v>0.17404699307464105</v>
      </c>
      <c r="Q146" s="456">
        <f>Q135-Q144</f>
        <v>33837.576149718174</v>
      </c>
      <c r="R146" s="454">
        <f>Q146/Q12</f>
        <v>0.21760319552729629</v>
      </c>
      <c r="S146" s="456">
        <f>S135-S144</f>
        <v>28471.414649194216</v>
      </c>
      <c r="T146" s="454">
        <f t="shared" si="147"/>
        <v>0.18175319618131816</v>
      </c>
      <c r="U146" s="456">
        <f>U135-U144</f>
        <v>27126.953900431625</v>
      </c>
      <c r="V146" s="454">
        <f>U146/U12</f>
        <v>0.21831710281652464</v>
      </c>
      <c r="W146" s="456">
        <f>W135-W144</f>
        <v>32144.288113019298</v>
      </c>
      <c r="X146" s="454">
        <f>W146/W12</f>
        <v>0.25426177920667131</v>
      </c>
      <c r="Y146" s="456">
        <f>Y135-Y144</f>
        <v>56711.302318462403</v>
      </c>
      <c r="Z146" s="454">
        <f t="shared" si="150"/>
        <v>0.29694714844543957</v>
      </c>
      <c r="AA146" s="422">
        <f>AA135-AA144</f>
        <v>410661.5570569901</v>
      </c>
      <c r="AB146" s="423">
        <f t="shared" si="152"/>
        <v>0.23076766059079626</v>
      </c>
      <c r="AC146" s="424">
        <f t="shared" si="154"/>
        <v>34221.796421415842</v>
      </c>
      <c r="AD146" s="425">
        <f t="shared" si="153"/>
        <v>0.23076766059079626</v>
      </c>
      <c r="AE146" s="218"/>
      <c r="AF146" s="219"/>
      <c r="AG146" s="209"/>
      <c r="AH146" s="21">
        <f t="shared" si="97"/>
        <v>172233.26260206549</v>
      </c>
    </row>
    <row r="147" spans="1:34" s="289" customFormat="1" ht="21.75" customHeight="1" thickTop="1">
      <c r="B147" s="363"/>
      <c r="C147" s="495"/>
      <c r="D147" s="501"/>
      <c r="E147" s="495"/>
      <c r="F147" s="502"/>
      <c r="G147" s="495"/>
      <c r="H147" s="502"/>
      <c r="I147" s="495"/>
      <c r="J147" s="502"/>
      <c r="K147" s="496"/>
      <c r="L147" s="502"/>
      <c r="M147" s="496"/>
      <c r="N147" s="502"/>
      <c r="O147" s="496"/>
      <c r="P147" s="502"/>
      <c r="Q147" s="498"/>
      <c r="R147" s="502"/>
      <c r="S147" s="498"/>
      <c r="T147" s="502"/>
      <c r="U147" s="498"/>
      <c r="V147" s="502"/>
      <c r="W147" s="498"/>
      <c r="X147" s="502"/>
      <c r="Y147" s="498"/>
      <c r="Z147" s="502"/>
      <c r="AA147" s="503"/>
      <c r="AB147" s="413"/>
      <c r="AC147" s="504">
        <f t="shared" si="154"/>
        <v>0</v>
      </c>
      <c r="AD147" s="414"/>
      <c r="AE147" s="213"/>
      <c r="AF147" s="54"/>
      <c r="AH147" s="21">
        <f t="shared" si="97"/>
        <v>0</v>
      </c>
    </row>
    <row r="148" spans="1:34" s="289" customFormat="1" ht="21.75" customHeight="1" thickBot="1">
      <c r="A148" s="140"/>
      <c r="B148" s="382" t="s">
        <v>192</v>
      </c>
      <c r="C148" s="505">
        <v>0</v>
      </c>
      <c r="D148" s="506">
        <f>C148/C12</f>
        <v>0</v>
      </c>
      <c r="E148" s="505">
        <v>0</v>
      </c>
      <c r="F148" s="506">
        <f>E148/E12</f>
        <v>0</v>
      </c>
      <c r="G148" s="505">
        <v>0</v>
      </c>
      <c r="H148" s="506">
        <f>G148/G12</f>
        <v>0</v>
      </c>
      <c r="I148" s="505">
        <v>0</v>
      </c>
      <c r="J148" s="506">
        <f>I148/I12</f>
        <v>0</v>
      </c>
      <c r="K148" s="505">
        <v>0</v>
      </c>
      <c r="L148" s="506">
        <f>K148/K12</f>
        <v>0</v>
      </c>
      <c r="M148" s="505">
        <v>0</v>
      </c>
      <c r="N148" s="506">
        <f>M148/M12</f>
        <v>0</v>
      </c>
      <c r="O148" s="505">
        <v>0</v>
      </c>
      <c r="P148" s="506">
        <f>O148/O12</f>
        <v>0</v>
      </c>
      <c r="Q148" s="505">
        <v>0</v>
      </c>
      <c r="R148" s="506">
        <f>Q148/Q12</f>
        <v>0</v>
      </c>
      <c r="S148" s="505">
        <v>0</v>
      </c>
      <c r="T148" s="506">
        <f>S148/S12</f>
        <v>0</v>
      </c>
      <c r="U148" s="505">
        <v>0</v>
      </c>
      <c r="V148" s="506">
        <f>U148/U12</f>
        <v>0</v>
      </c>
      <c r="W148" s="505">
        <v>0</v>
      </c>
      <c r="X148" s="506">
        <f>W148/W12</f>
        <v>0</v>
      </c>
      <c r="Y148" s="505">
        <v>0</v>
      </c>
      <c r="Z148" s="506">
        <f>Y148/Y12</f>
        <v>0</v>
      </c>
      <c r="AA148" s="505">
        <f>C148+E148+G148+I148+K148+M148+O148+Q148+S148+U148+W148+Y148</f>
        <v>0</v>
      </c>
      <c r="AB148" s="506">
        <f>AA148/AA12</f>
        <v>0</v>
      </c>
      <c r="AC148" s="505">
        <f t="shared" si="154"/>
        <v>0</v>
      </c>
      <c r="AD148" s="506">
        <f>AC148/AC12</f>
        <v>0</v>
      </c>
      <c r="AE148" s="226"/>
      <c r="AF148" s="219"/>
      <c r="AG148" s="209"/>
      <c r="AH148" s="21">
        <f t="shared" si="97"/>
        <v>0</v>
      </c>
    </row>
    <row r="149" spans="1:34" s="289" customFormat="1" ht="21.75" customHeight="1" thickTop="1">
      <c r="B149" s="383"/>
      <c r="C149" s="507"/>
      <c r="D149" s="485"/>
      <c r="E149" s="507"/>
      <c r="F149" s="508"/>
      <c r="G149" s="507"/>
      <c r="H149" s="508"/>
      <c r="I149" s="507"/>
      <c r="J149" s="508"/>
      <c r="K149" s="496"/>
      <c r="L149" s="508"/>
      <c r="M149" s="496"/>
      <c r="N149" s="508"/>
      <c r="O149" s="496"/>
      <c r="P149" s="508"/>
      <c r="Q149" s="363"/>
      <c r="R149" s="508"/>
      <c r="S149" s="363"/>
      <c r="T149" s="508"/>
      <c r="U149" s="363"/>
      <c r="V149" s="508"/>
      <c r="W149" s="363"/>
      <c r="X149" s="508"/>
      <c r="Y149" s="363"/>
      <c r="Z149" s="508"/>
      <c r="AA149" s="398"/>
      <c r="AB149" s="399"/>
      <c r="AC149" s="400">
        <f t="shared" si="154"/>
        <v>0</v>
      </c>
      <c r="AD149" s="401"/>
      <c r="AE149" s="160"/>
      <c r="AF149" s="54"/>
      <c r="AH149" s="21">
        <f t="shared" ref="AH149:AH152" si="155">Q149*5.09</f>
        <v>0</v>
      </c>
    </row>
    <row r="150" spans="1:34" s="289" customFormat="1" ht="21.75" customHeight="1" thickBot="1">
      <c r="A150" s="140"/>
      <c r="B150" s="384" t="s">
        <v>206</v>
      </c>
      <c r="C150" s="505">
        <v>0</v>
      </c>
      <c r="D150" s="509"/>
      <c r="E150" s="505">
        <v>0</v>
      </c>
      <c r="F150" s="506"/>
      <c r="G150" s="505">
        <v>0</v>
      </c>
      <c r="H150" s="506"/>
      <c r="I150" s="505">
        <v>0</v>
      </c>
      <c r="J150" s="506"/>
      <c r="K150" s="455">
        <v>0</v>
      </c>
      <c r="L150" s="506"/>
      <c r="M150" s="455">
        <v>0</v>
      </c>
      <c r="N150" s="506"/>
      <c r="O150" s="455">
        <v>0</v>
      </c>
      <c r="P150" s="506"/>
      <c r="Q150" s="510">
        <v>0</v>
      </c>
      <c r="R150" s="506"/>
      <c r="S150" s="510">
        <v>0</v>
      </c>
      <c r="T150" s="506"/>
      <c r="U150" s="510">
        <v>0</v>
      </c>
      <c r="V150" s="506"/>
      <c r="W150" s="510">
        <v>0</v>
      </c>
      <c r="X150" s="506"/>
      <c r="Y150" s="510">
        <v>0</v>
      </c>
      <c r="Z150" s="506"/>
      <c r="AA150" s="505">
        <f>C150+E150+G150+I150+K150+M150+O150+Q150+S150+U150+W150+Y150</f>
        <v>0</v>
      </c>
      <c r="AB150" s="506"/>
      <c r="AC150" s="505">
        <f t="shared" si="154"/>
        <v>0</v>
      </c>
      <c r="AD150" s="506"/>
      <c r="AE150" s="160"/>
      <c r="AF150" s="54"/>
      <c r="AH150" s="21">
        <f t="shared" si="155"/>
        <v>0</v>
      </c>
    </row>
    <row r="151" spans="1:34" s="289" customFormat="1" ht="21.75" customHeight="1" thickTop="1">
      <c r="B151" s="66"/>
      <c r="C151" s="507"/>
      <c r="D151" s="485"/>
      <c r="E151" s="507"/>
      <c r="F151" s="508"/>
      <c r="G151" s="507"/>
      <c r="H151" s="508"/>
      <c r="I151" s="507"/>
      <c r="J151" s="508"/>
      <c r="K151" s="496"/>
      <c r="L151" s="508"/>
      <c r="M151" s="496"/>
      <c r="N151" s="508"/>
      <c r="O151" s="496"/>
      <c r="P151" s="508"/>
      <c r="Q151" s="363"/>
      <c r="R151" s="508"/>
      <c r="S151" s="363"/>
      <c r="T151" s="508"/>
      <c r="U151" s="363"/>
      <c r="V151" s="508"/>
      <c r="W151" s="363"/>
      <c r="X151" s="508"/>
      <c r="Y151" s="363"/>
      <c r="Z151" s="508"/>
      <c r="AA151" s="398"/>
      <c r="AB151" s="399"/>
      <c r="AC151" s="400">
        <f t="shared" si="154"/>
        <v>0</v>
      </c>
      <c r="AD151" s="401"/>
      <c r="AE151" s="160"/>
      <c r="AF151" s="54"/>
      <c r="AH151" s="21">
        <f t="shared" si="155"/>
        <v>0</v>
      </c>
    </row>
    <row r="152" spans="1:34" s="289" customFormat="1" ht="21.75" customHeight="1" thickBot="1">
      <c r="A152" s="140"/>
      <c r="B152" s="148" t="s">
        <v>189</v>
      </c>
      <c r="C152" s="505">
        <f>C146-C148-C150</f>
        <v>31964.869913373848</v>
      </c>
      <c r="D152" s="506">
        <f>C152/C12</f>
        <v>0.23882540542859379</v>
      </c>
      <c r="E152" s="505">
        <f>E146-E148-E150</f>
        <v>16713.293650724594</v>
      </c>
      <c r="F152" s="506">
        <f>E152/E12</f>
        <v>0.16050481009516787</v>
      </c>
      <c r="G152" s="505">
        <f>G146-G148-G150</f>
        <v>46547.224538708586</v>
      </c>
      <c r="H152" s="506">
        <f>G152/G12</f>
        <v>0.26948316426496394</v>
      </c>
      <c r="I152" s="505">
        <f>I146-I148-I150</f>
        <v>31698.353724879897</v>
      </c>
      <c r="J152" s="506">
        <f>I152/I12</f>
        <v>0.20783403614192661</v>
      </c>
      <c r="K152" s="505">
        <f>K146-K148-K150</f>
        <v>37347.991750647794</v>
      </c>
      <c r="L152" s="506">
        <f>K152/K12</f>
        <v>0.26774115531591108</v>
      </c>
      <c r="M152" s="505">
        <f>M146-M148-M150</f>
        <v>46302.621203732167</v>
      </c>
      <c r="N152" s="506">
        <f>M152/M12</f>
        <v>0.2340892475613025</v>
      </c>
      <c r="O152" s="505">
        <f>O146-O148-O150</f>
        <v>21795.667144097239</v>
      </c>
      <c r="P152" s="506">
        <f>O152/O12</f>
        <v>0.17404699307464105</v>
      </c>
      <c r="Q152" s="505">
        <f>Q146-Q148-Q150</f>
        <v>33837.576149718174</v>
      </c>
      <c r="R152" s="506">
        <f>Q152/Q12</f>
        <v>0.21760319552729629</v>
      </c>
      <c r="S152" s="505">
        <f>S146-S148-S150</f>
        <v>28471.414649194216</v>
      </c>
      <c r="T152" s="506">
        <f>S152/S12</f>
        <v>0.18175319618131816</v>
      </c>
      <c r="U152" s="505">
        <f>U146-U148-U150</f>
        <v>27126.953900431625</v>
      </c>
      <c r="V152" s="506">
        <f>U152/U12</f>
        <v>0.21831710281652464</v>
      </c>
      <c r="W152" s="505">
        <f>W146-W148-W150</f>
        <v>32144.288113019298</v>
      </c>
      <c r="X152" s="506">
        <f>W152/W12</f>
        <v>0.25426177920667131</v>
      </c>
      <c r="Y152" s="505">
        <f>Y146-Y148-Y150</f>
        <v>56711.302318462403</v>
      </c>
      <c r="Z152" s="506">
        <f>Y152/Y12</f>
        <v>0.29694714844543957</v>
      </c>
      <c r="AA152" s="511">
        <f>AA146-AA148</f>
        <v>410661.5570569901</v>
      </c>
      <c r="AB152" s="506">
        <f>AA152/AA12</f>
        <v>0.23076766059079626</v>
      </c>
      <c r="AC152" s="511">
        <f t="shared" si="154"/>
        <v>34221.796421415842</v>
      </c>
      <c r="AD152" s="506">
        <f>AC152/AC12</f>
        <v>0.23076766059079626</v>
      </c>
      <c r="AE152" s="226"/>
      <c r="AF152" s="219"/>
      <c r="AG152" s="209"/>
      <c r="AH152" s="21">
        <f t="shared" si="155"/>
        <v>172233.26260206549</v>
      </c>
    </row>
    <row r="153" spans="1:34" s="289" customFormat="1" ht="21.75" customHeight="1" thickTop="1">
      <c r="B153" s="130"/>
      <c r="C153" s="507"/>
      <c r="D153" s="485"/>
      <c r="E153" s="507"/>
      <c r="F153" s="508"/>
      <c r="G153" s="507"/>
      <c r="H153" s="508"/>
      <c r="I153" s="507"/>
      <c r="J153" s="508"/>
      <c r="K153" s="496"/>
      <c r="L153" s="508"/>
      <c r="M153" s="496"/>
      <c r="N153" s="508"/>
      <c r="O153" s="496"/>
      <c r="P153" s="508"/>
      <c r="Q153" s="507"/>
      <c r="R153" s="508"/>
      <c r="S153" s="507"/>
      <c r="T153" s="508"/>
      <c r="U153" s="363"/>
      <c r="V153" s="508"/>
      <c r="W153" s="363"/>
      <c r="X153" s="508"/>
      <c r="Y153" s="363"/>
      <c r="Z153" s="508"/>
      <c r="AA153" s="398"/>
      <c r="AB153" s="399"/>
      <c r="AC153" s="400"/>
      <c r="AD153" s="512"/>
      <c r="AE153" s="160"/>
      <c r="AF153" s="64"/>
      <c r="AH153" s="27"/>
    </row>
    <row r="154" spans="1:34" s="289" customFormat="1" ht="21.75" customHeight="1">
      <c r="B154" s="180" t="s">
        <v>138</v>
      </c>
      <c r="C154" s="507">
        <f>C152</f>
        <v>31964.869913373848</v>
      </c>
      <c r="D154" s="485"/>
      <c r="E154" s="507">
        <f>E152+C154</f>
        <v>48678.163564098446</v>
      </c>
      <c r="F154" s="508"/>
      <c r="G154" s="507">
        <f>G152+E154</f>
        <v>95225.388102807032</v>
      </c>
      <c r="H154" s="508"/>
      <c r="I154" s="507">
        <f>I152+G154</f>
        <v>126923.74182768693</v>
      </c>
      <c r="J154" s="508"/>
      <c r="K154" s="507">
        <f>K152+I154</f>
        <v>164271.73357833474</v>
      </c>
      <c r="L154" s="508"/>
      <c r="M154" s="507">
        <f>M152+K154</f>
        <v>210574.35478206689</v>
      </c>
      <c r="N154" s="508"/>
      <c r="O154" s="507">
        <f>O152+M154</f>
        <v>232370.02192616413</v>
      </c>
      <c r="P154" s="508"/>
      <c r="Q154" s="507">
        <f>Q152+O154</f>
        <v>266207.5980758823</v>
      </c>
      <c r="R154" s="508"/>
      <c r="S154" s="507">
        <f>S152+Q154</f>
        <v>294679.01272507652</v>
      </c>
      <c r="T154" s="508"/>
      <c r="U154" s="507">
        <f>U152+S154</f>
        <v>321805.96662550815</v>
      </c>
      <c r="V154" s="508"/>
      <c r="W154" s="507">
        <f>W152+U154</f>
        <v>353950.25473852747</v>
      </c>
      <c r="X154" s="508"/>
      <c r="Y154" s="507">
        <f>Y152+W154</f>
        <v>410661.55705698987</v>
      </c>
      <c r="Z154" s="363"/>
      <c r="AA154" s="363"/>
      <c r="AB154" s="399"/>
      <c r="AC154" s="400"/>
      <c r="AD154" s="401"/>
      <c r="AE154" s="160"/>
      <c r="AF154" s="64"/>
      <c r="AH154" s="27"/>
    </row>
    <row r="155" spans="1:34" s="289" customFormat="1" ht="21.75" customHeight="1">
      <c r="C155" s="507"/>
      <c r="D155" s="485"/>
      <c r="E155" s="507"/>
      <c r="F155" s="508"/>
      <c r="G155" s="507"/>
      <c r="H155" s="508"/>
      <c r="I155" s="507">
        <v>-7208.55</v>
      </c>
      <c r="J155" s="508"/>
      <c r="K155" s="496"/>
      <c r="L155" s="508"/>
      <c r="M155" s="496"/>
      <c r="N155" s="508"/>
      <c r="O155" s="496"/>
      <c r="P155" s="508"/>
      <c r="Q155" s="363"/>
      <c r="R155" s="508"/>
      <c r="S155" s="363"/>
      <c r="T155" s="508"/>
      <c r="U155" s="363"/>
      <c r="V155" s="508"/>
      <c r="W155" s="363"/>
      <c r="X155" s="508"/>
      <c r="Y155" s="363"/>
      <c r="Z155" s="513" t="s">
        <v>103</v>
      </c>
      <c r="AA155" s="514">
        <f>AA152*5.09</f>
        <v>2090267.3254200795</v>
      </c>
      <c r="AB155" s="399"/>
      <c r="AC155" s="400"/>
      <c r="AD155" s="401"/>
      <c r="AE155" s="160"/>
      <c r="AF155" s="64"/>
      <c r="AH155" s="27"/>
    </row>
    <row r="156" spans="1:34" ht="21.75" customHeight="1">
      <c r="B156" s="297" t="s">
        <v>103</v>
      </c>
      <c r="C156" s="515">
        <f>C154*5.09</f>
        <v>162701.18785907287</v>
      </c>
      <c r="E156" s="515">
        <f>E154*5.09</f>
        <v>247771.85254126109</v>
      </c>
      <c r="G156" s="515">
        <f>G154*5.09</f>
        <v>484697.22544328775</v>
      </c>
      <c r="I156" s="515">
        <f>I154*5.09</f>
        <v>646041.8459029264</v>
      </c>
      <c r="K156" s="518">
        <f>K154*5.09</f>
        <v>836143.12391372374</v>
      </c>
      <c r="M156" s="518">
        <f>M154*5.09</f>
        <v>1071823.4658407203</v>
      </c>
      <c r="O156" s="515">
        <f>O154*5.09</f>
        <v>1182763.4116041753</v>
      </c>
      <c r="Q156" s="515">
        <f>Q154*5.09</f>
        <v>1354996.6742062408</v>
      </c>
      <c r="S156" s="515">
        <f>S154*5.09</f>
        <v>1499916.1747706395</v>
      </c>
      <c r="U156" s="515">
        <f>U154*5.09</f>
        <v>1637992.3701238364</v>
      </c>
      <c r="W156" s="515">
        <f>W154*5.09</f>
        <v>1801606.7966191047</v>
      </c>
      <c r="Y156" s="515">
        <f>Y154*5.09</f>
        <v>2090267.3254200784</v>
      </c>
    </row>
    <row r="158" spans="1:34" ht="21.75" customHeight="1">
      <c r="D158" s="519"/>
      <c r="S158" s="520"/>
      <c r="AA158" s="518"/>
    </row>
    <row r="159" spans="1:34" ht="21.75" customHeight="1">
      <c r="D159" s="521"/>
    </row>
    <row r="160" spans="1:34" ht="21.75" customHeight="1">
      <c r="D160" s="521"/>
    </row>
    <row r="161" spans="4:4" ht="21.75" customHeight="1">
      <c r="D161" s="519"/>
    </row>
    <row r="162" spans="4:4" ht="21.75" customHeight="1">
      <c r="D162" s="519"/>
    </row>
  </sheetData>
  <mergeCells count="15">
    <mergeCell ref="A1:AD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rintOptions gridLines="1"/>
  <pageMargins left="0.70866141732283505" right="0.70866141732283505" top="0.74803149606299202" bottom="1.1000000000000001" header="0.31496062992126" footer="0.31496062992126"/>
  <pageSetup paperSize="8" scale="53" fitToHeight="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61"/>
  <sheetViews>
    <sheetView zoomScale="85" zoomScaleNormal="85" workbookViewId="0">
      <pane xSplit="2" ySplit="5" topLeftCell="C6" activePane="bottomRight" state="frozen"/>
      <selection activeCell="M143" sqref="M143"/>
      <selection pane="topRight" activeCell="M143" sqref="M143"/>
      <selection pane="bottomLeft" activeCell="M143" sqref="M143"/>
      <selection pane="bottomRight" activeCell="C6" sqref="C6"/>
    </sheetView>
  </sheetViews>
  <sheetFormatPr defaultColWidth="9.140625" defaultRowHeight="15"/>
  <cols>
    <col min="1" max="1" width="7.42578125" style="133" bestFit="1" customWidth="1"/>
    <col min="2" max="2" width="35.5703125" style="133" bestFit="1" customWidth="1"/>
    <col min="3" max="3" width="15.28515625" style="168" customWidth="1"/>
    <col min="4" max="4" width="12.5703125" style="133" customWidth="1"/>
    <col min="5" max="5" width="13.28515625" style="168" bestFit="1" customWidth="1"/>
    <col min="6" max="6" width="8.85546875" style="259" bestFit="1" customWidth="1"/>
    <col min="7" max="7" width="13.28515625" style="168" bestFit="1" customWidth="1"/>
    <col min="8" max="8" width="8.85546875" style="259" bestFit="1" customWidth="1"/>
    <col min="9" max="9" width="13.28515625" style="168" bestFit="1" customWidth="1"/>
    <col min="10" max="10" width="8.7109375" style="259" bestFit="1" customWidth="1"/>
    <col min="11" max="11" width="13.28515625" style="26" bestFit="1" customWidth="1"/>
    <col min="12" max="12" width="8.7109375" style="259" bestFit="1" customWidth="1"/>
    <col min="13" max="13" width="13.28515625" style="26" bestFit="1" customWidth="1"/>
    <col min="14" max="14" width="8.85546875" style="259" bestFit="1" customWidth="1"/>
    <col min="15" max="15" width="15.5703125" style="26" customWidth="1"/>
    <col min="16" max="16" width="10.7109375" style="259" customWidth="1"/>
    <col min="17" max="17" width="14.28515625" style="133" customWidth="1"/>
    <col min="18" max="18" width="9.140625" style="259" customWidth="1"/>
    <col min="19" max="19" width="15.140625" style="133" customWidth="1"/>
    <col min="20" max="20" width="8.140625" style="259" bestFit="1" customWidth="1"/>
    <col min="21" max="21" width="14.42578125" style="133" customWidth="1"/>
    <col min="22" max="22" width="9.5703125" style="259" customWidth="1"/>
    <col min="23" max="23" width="14" style="133" bestFit="1" customWidth="1"/>
    <col min="24" max="24" width="8.140625" style="259" bestFit="1" customWidth="1"/>
    <col min="25" max="25" width="14" style="133" bestFit="1" customWidth="1"/>
    <col min="26" max="26" width="8.140625" style="259" bestFit="1" customWidth="1"/>
    <col min="27" max="27" width="14" style="133" bestFit="1" customWidth="1"/>
    <col min="28" max="28" width="8.140625" style="259" bestFit="1" customWidth="1"/>
    <col min="29" max="29" width="11.42578125" style="133" bestFit="1" customWidth="1"/>
    <col min="30" max="30" width="8.140625" style="259" bestFit="1" customWidth="1"/>
    <col min="31" max="31" width="21.28515625" style="259" hidden="1" customWidth="1"/>
    <col min="32" max="32" width="16.85546875" style="168" hidden="1" customWidth="1"/>
    <col min="33" max="33" width="51.7109375" style="133" hidden="1" customWidth="1"/>
    <col min="34" max="34" width="11.5703125" style="26" hidden="1" customWidth="1"/>
    <col min="35" max="35" width="10.28515625" style="133" bestFit="1" customWidth="1"/>
    <col min="36" max="16384" width="9.140625" style="133"/>
  </cols>
  <sheetData>
    <row r="1" spans="1:34" s="289" customFormat="1">
      <c r="A1" s="600" t="s">
        <v>251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1"/>
      <c r="AE1" s="210"/>
      <c r="AF1" s="64"/>
      <c r="AH1" s="27"/>
    </row>
    <row r="2" spans="1:34" s="289" customFormat="1">
      <c r="A2" s="32"/>
      <c r="B2" s="32"/>
      <c r="C2" s="598" t="s">
        <v>64</v>
      </c>
      <c r="D2" s="599"/>
      <c r="E2" s="595" t="s">
        <v>65</v>
      </c>
      <c r="F2" s="595"/>
      <c r="G2" s="598" t="s">
        <v>81</v>
      </c>
      <c r="H2" s="599"/>
      <c r="I2" s="598" t="s">
        <v>82</v>
      </c>
      <c r="J2" s="599"/>
      <c r="K2" s="598" t="s">
        <v>83</v>
      </c>
      <c r="L2" s="599"/>
      <c r="M2" s="598" t="s">
        <v>84</v>
      </c>
      <c r="N2" s="602"/>
      <c r="O2" s="598" t="s">
        <v>85</v>
      </c>
      <c r="P2" s="599"/>
      <c r="Q2" s="598" t="s">
        <v>86</v>
      </c>
      <c r="R2" s="599"/>
      <c r="S2" s="595" t="s">
        <v>87</v>
      </c>
      <c r="T2" s="595"/>
      <c r="U2" s="598" t="s">
        <v>120</v>
      </c>
      <c r="V2" s="599"/>
      <c r="W2" s="598" t="s">
        <v>121</v>
      </c>
      <c r="X2" s="599"/>
      <c r="Y2" s="595" t="s">
        <v>122</v>
      </c>
      <c r="Z2" s="595"/>
      <c r="AA2" s="596" t="s">
        <v>118</v>
      </c>
      <c r="AB2" s="596"/>
      <c r="AC2" s="597" t="s">
        <v>119</v>
      </c>
      <c r="AD2" s="597"/>
      <c r="AE2" s="211"/>
      <c r="AF2" s="64"/>
      <c r="AH2" s="27"/>
    </row>
    <row r="3" spans="1:34" s="289" customFormat="1" ht="15.75" thickBot="1">
      <c r="A3" s="30"/>
      <c r="B3" s="12" t="s">
        <v>69</v>
      </c>
      <c r="C3" s="173" t="s">
        <v>106</v>
      </c>
      <c r="D3" s="31" t="s">
        <v>80</v>
      </c>
      <c r="E3" s="173" t="s">
        <v>106</v>
      </c>
      <c r="F3" s="74" t="s">
        <v>80</v>
      </c>
      <c r="G3" s="173" t="s">
        <v>106</v>
      </c>
      <c r="H3" s="74" t="s">
        <v>80</v>
      </c>
      <c r="I3" s="173" t="s">
        <v>106</v>
      </c>
      <c r="J3" s="74" t="s">
        <v>80</v>
      </c>
      <c r="K3" s="29" t="s">
        <v>106</v>
      </c>
      <c r="L3" s="74" t="s">
        <v>80</v>
      </c>
      <c r="M3" s="29" t="s">
        <v>106</v>
      </c>
      <c r="N3" s="74" t="s">
        <v>80</v>
      </c>
      <c r="O3" s="29" t="s">
        <v>106</v>
      </c>
      <c r="P3" s="74" t="s">
        <v>80</v>
      </c>
      <c r="Q3" s="12" t="s">
        <v>106</v>
      </c>
      <c r="R3" s="74" t="s">
        <v>80</v>
      </c>
      <c r="S3" s="12" t="s">
        <v>106</v>
      </c>
      <c r="T3" s="74" t="s">
        <v>80</v>
      </c>
      <c r="U3" s="12" t="s">
        <v>106</v>
      </c>
      <c r="V3" s="74" t="s">
        <v>80</v>
      </c>
      <c r="W3" s="12" t="s">
        <v>106</v>
      </c>
      <c r="X3" s="74" t="s">
        <v>80</v>
      </c>
      <c r="Y3" s="12" t="s">
        <v>106</v>
      </c>
      <c r="Z3" s="74" t="s">
        <v>80</v>
      </c>
      <c r="AA3" s="101" t="s">
        <v>106</v>
      </c>
      <c r="AB3" s="102" t="s">
        <v>80</v>
      </c>
      <c r="AC3" s="85" t="s">
        <v>106</v>
      </c>
      <c r="AD3" s="86" t="s">
        <v>80</v>
      </c>
      <c r="AE3" s="212"/>
      <c r="AF3" s="64"/>
      <c r="AH3" s="27"/>
    </row>
    <row r="4" spans="1:34" s="289" customFormat="1">
      <c r="C4" s="54">
        <v>0</v>
      </c>
      <c r="D4" s="17"/>
      <c r="E4" s="54">
        <v>0</v>
      </c>
      <c r="F4" s="75"/>
      <c r="G4" s="54"/>
      <c r="H4" s="75"/>
      <c r="I4" s="54">
        <v>0</v>
      </c>
      <c r="J4" s="75"/>
      <c r="K4" s="21">
        <v>0</v>
      </c>
      <c r="L4" s="75"/>
      <c r="M4" s="21">
        <v>0</v>
      </c>
      <c r="N4" s="75"/>
      <c r="O4" s="21">
        <v>0</v>
      </c>
      <c r="P4" s="75"/>
      <c r="Q4" s="54">
        <v>0</v>
      </c>
      <c r="R4" s="75"/>
      <c r="S4" s="5">
        <v>0</v>
      </c>
      <c r="T4" s="75"/>
      <c r="U4" s="5">
        <v>0</v>
      </c>
      <c r="V4" s="75"/>
      <c r="W4" s="5">
        <v>0</v>
      </c>
      <c r="X4" s="75"/>
      <c r="Y4" s="5">
        <v>0</v>
      </c>
      <c r="Z4" s="75"/>
      <c r="AA4" s="103"/>
      <c r="AB4" s="104"/>
      <c r="AC4" s="87"/>
      <c r="AD4" s="88"/>
      <c r="AE4" s="160"/>
      <c r="AF4" s="64"/>
      <c r="AH4" s="27"/>
    </row>
    <row r="5" spans="1:34" s="5" customFormat="1">
      <c r="A5" s="6">
        <v>5004</v>
      </c>
      <c r="B5" s="16" t="s">
        <v>71</v>
      </c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56">
        <v>1</v>
      </c>
      <c r="AA5" s="105">
        <f>C5+E5+G5+I5+K5+M5+O5+Q5+S5+U5+W5+Y5</f>
        <v>0</v>
      </c>
      <c r="AB5" s="126">
        <v>1</v>
      </c>
      <c r="AC5" s="89">
        <f>AA5/12</f>
        <v>0</v>
      </c>
      <c r="AD5" s="126">
        <v>1</v>
      </c>
      <c r="AE5" s="217" t="s">
        <v>172</v>
      </c>
      <c r="AF5" s="221">
        <f>AA5*5.09</f>
        <v>0</v>
      </c>
      <c r="AG5" s="204" t="s">
        <v>171</v>
      </c>
      <c r="AH5" s="21">
        <f>Q5*5.09</f>
        <v>0</v>
      </c>
    </row>
    <row r="6" spans="1:34" s="289" customFormat="1">
      <c r="A6" s="289">
        <v>5005</v>
      </c>
      <c r="B6" s="289" t="s">
        <v>67</v>
      </c>
      <c r="C6" s="55"/>
      <c r="D6" s="68"/>
      <c r="E6" s="55"/>
      <c r="F6" s="68"/>
      <c r="G6" s="55"/>
      <c r="H6" s="68"/>
      <c r="I6" s="55"/>
      <c r="J6" s="68"/>
      <c r="K6" s="55"/>
      <c r="L6" s="68"/>
      <c r="M6" s="55"/>
      <c r="N6" s="67"/>
      <c r="O6" s="55"/>
      <c r="P6" s="68"/>
      <c r="Q6" s="55"/>
      <c r="R6" s="68"/>
      <c r="S6" s="55"/>
      <c r="T6" s="68"/>
      <c r="U6" s="55"/>
      <c r="V6" s="68"/>
      <c r="W6" s="55"/>
      <c r="X6" s="68"/>
      <c r="Y6" s="55"/>
      <c r="Z6" s="68"/>
      <c r="AA6" s="105">
        <f t="shared" ref="AA6:AA11" si="0">C6+E6+G6+I6+K6+M6+O6+Q6+S6+U6+W6+Y6</f>
        <v>0</v>
      </c>
      <c r="AB6" s="107"/>
      <c r="AC6" s="89">
        <f t="shared" ref="AC6:AC69" si="1">AA6/12</f>
        <v>0</v>
      </c>
      <c r="AD6" s="91"/>
      <c r="AE6" s="213"/>
      <c r="AF6" s="64"/>
      <c r="AH6" s="21">
        <f t="shared" ref="AH6:AH69" si="2">Q6*5.09</f>
        <v>0</v>
      </c>
    </row>
    <row r="7" spans="1:34" s="289" customFormat="1">
      <c r="A7" s="14">
        <v>5051</v>
      </c>
      <c r="B7" s="15" t="s">
        <v>74</v>
      </c>
      <c r="C7" s="55"/>
      <c r="D7" s="49" t="e">
        <f>C7/C$5</f>
        <v>#DIV/0!</v>
      </c>
      <c r="E7" s="55"/>
      <c r="F7" s="49" t="e">
        <f>E7/E$5</f>
        <v>#DIV/0!</v>
      </c>
      <c r="G7" s="55"/>
      <c r="H7" s="49" t="e">
        <f>G7/G$5</f>
        <v>#DIV/0!</v>
      </c>
      <c r="I7" s="55"/>
      <c r="J7" s="49" t="e">
        <f>I7/I$5</f>
        <v>#DIV/0!</v>
      </c>
      <c r="K7" s="55"/>
      <c r="L7" s="49" t="e">
        <f>K7/K$5</f>
        <v>#DIV/0!</v>
      </c>
      <c r="M7" s="55"/>
      <c r="N7" s="49" t="e">
        <f>M7/M$5</f>
        <v>#DIV/0!</v>
      </c>
      <c r="O7" s="55"/>
      <c r="P7" s="49" t="e">
        <f>O7/O$5</f>
        <v>#DIV/0!</v>
      </c>
      <c r="Q7" s="55"/>
      <c r="R7" s="49" t="e">
        <f>Q7/Q$5</f>
        <v>#DIV/0!</v>
      </c>
      <c r="S7" s="55"/>
      <c r="T7" s="49" t="e">
        <f>S7/S$5</f>
        <v>#DIV/0!</v>
      </c>
      <c r="U7" s="55"/>
      <c r="V7" s="49" t="e">
        <f>U7/U$5</f>
        <v>#DIV/0!</v>
      </c>
      <c r="W7" s="55"/>
      <c r="X7" s="49" t="e">
        <f>W7/W$5</f>
        <v>#DIV/0!</v>
      </c>
      <c r="Y7" s="55"/>
      <c r="Z7" s="49" t="e">
        <f>Y7/Y$5</f>
        <v>#DIV/0!</v>
      </c>
      <c r="AA7" s="105">
        <f t="shared" si="0"/>
        <v>0</v>
      </c>
      <c r="AB7" s="108" t="e">
        <f>AA7/AA$5</f>
        <v>#DIV/0!</v>
      </c>
      <c r="AC7" s="89">
        <f t="shared" si="1"/>
        <v>0</v>
      </c>
      <c r="AD7" s="92" t="e">
        <f>AC7/AC$5</f>
        <v>#DIV/0!</v>
      </c>
      <c r="AE7" s="214"/>
      <c r="AF7" s="64"/>
      <c r="AH7" s="21">
        <f t="shared" si="2"/>
        <v>0</v>
      </c>
    </row>
    <row r="8" spans="1:34" s="289" customFormat="1">
      <c r="A8" s="289">
        <v>5052</v>
      </c>
      <c r="B8" s="289" t="s">
        <v>90</v>
      </c>
      <c r="C8" s="55"/>
      <c r="D8" s="49" t="e">
        <f>C8/C$5</f>
        <v>#DIV/0!</v>
      </c>
      <c r="E8" s="55"/>
      <c r="F8" s="49" t="e">
        <f t="shared" ref="F8:F11" si="3">E8/E$5</f>
        <v>#DIV/0!</v>
      </c>
      <c r="G8" s="55"/>
      <c r="H8" s="49" t="e">
        <f t="shared" ref="H8:H11" si="4">G8/G$5</f>
        <v>#DIV/0!</v>
      </c>
      <c r="I8" s="55"/>
      <c r="J8" s="49" t="e">
        <f t="shared" ref="J8:J11" si="5">I8/I$5</f>
        <v>#DIV/0!</v>
      </c>
      <c r="K8" s="55"/>
      <c r="L8" s="49" t="e">
        <f t="shared" ref="L8:L11" si="6">K8/K$5</f>
        <v>#DIV/0!</v>
      </c>
      <c r="M8" s="55"/>
      <c r="N8" s="49" t="e">
        <f t="shared" ref="N8:N11" si="7">M8/M$5</f>
        <v>#DIV/0!</v>
      </c>
      <c r="O8" s="55"/>
      <c r="P8" s="49" t="e">
        <f t="shared" ref="P8:P11" si="8">O8/O$5</f>
        <v>#DIV/0!</v>
      </c>
      <c r="Q8" s="55"/>
      <c r="R8" s="49" t="e">
        <f t="shared" ref="R8:R11" si="9">Q8/Q$5</f>
        <v>#DIV/0!</v>
      </c>
      <c r="S8" s="55"/>
      <c r="T8" s="49" t="e">
        <f t="shared" ref="T8:T11" si="10">S8/S$5</f>
        <v>#DIV/0!</v>
      </c>
      <c r="U8" s="55"/>
      <c r="V8" s="49" t="e">
        <f t="shared" ref="V8:V11" si="11">U8/U$5</f>
        <v>#DIV/0!</v>
      </c>
      <c r="W8" s="55"/>
      <c r="X8" s="49" t="e">
        <f t="shared" ref="X8:X11" si="12">W8/W$5</f>
        <v>#DIV/0!</v>
      </c>
      <c r="Y8" s="55"/>
      <c r="Z8" s="49" t="e">
        <f t="shared" ref="Z8:Z11" si="13">Y8/Y$5</f>
        <v>#DIV/0!</v>
      </c>
      <c r="AA8" s="105">
        <f t="shared" si="0"/>
        <v>0</v>
      </c>
      <c r="AB8" s="108" t="e">
        <f t="shared" ref="AB8:AB11" si="14">AA8/AA$5</f>
        <v>#DIV/0!</v>
      </c>
      <c r="AC8" s="89">
        <f t="shared" si="1"/>
        <v>0</v>
      </c>
      <c r="AD8" s="92" t="e">
        <f t="shared" ref="AD8:AD11" si="15">AC8/AC$5</f>
        <v>#DIV/0!</v>
      </c>
      <c r="AE8" s="214"/>
      <c r="AF8" s="54"/>
      <c r="AH8" s="21">
        <f t="shared" si="2"/>
        <v>0</v>
      </c>
    </row>
    <row r="9" spans="1:34" s="289" customFormat="1">
      <c r="A9" s="289">
        <v>5101</v>
      </c>
      <c r="B9" s="289" t="s">
        <v>46</v>
      </c>
      <c r="C9" s="55"/>
      <c r="D9" s="49" t="e">
        <f>C9/C$5</f>
        <v>#DIV/0!</v>
      </c>
      <c r="E9" s="55"/>
      <c r="F9" s="49" t="e">
        <f t="shared" si="3"/>
        <v>#DIV/0!</v>
      </c>
      <c r="G9" s="55"/>
      <c r="H9" s="49" t="e">
        <f t="shared" si="4"/>
        <v>#DIV/0!</v>
      </c>
      <c r="I9" s="55"/>
      <c r="J9" s="49" t="e">
        <f t="shared" si="5"/>
        <v>#DIV/0!</v>
      </c>
      <c r="K9" s="55"/>
      <c r="L9" s="49" t="e">
        <f t="shared" si="6"/>
        <v>#DIV/0!</v>
      </c>
      <c r="M9" s="55"/>
      <c r="N9" s="49" t="e">
        <f t="shared" si="7"/>
        <v>#DIV/0!</v>
      </c>
      <c r="O9" s="55"/>
      <c r="P9" s="49" t="e">
        <f t="shared" si="8"/>
        <v>#DIV/0!</v>
      </c>
      <c r="Q9" s="55"/>
      <c r="R9" s="49" t="e">
        <f t="shared" si="9"/>
        <v>#DIV/0!</v>
      </c>
      <c r="S9" s="55"/>
      <c r="T9" s="49" t="e">
        <f t="shared" si="10"/>
        <v>#DIV/0!</v>
      </c>
      <c r="U9" s="55"/>
      <c r="V9" s="49" t="e">
        <f t="shared" si="11"/>
        <v>#DIV/0!</v>
      </c>
      <c r="W9" s="55"/>
      <c r="X9" s="49" t="e">
        <f t="shared" si="12"/>
        <v>#DIV/0!</v>
      </c>
      <c r="Y9" s="55"/>
      <c r="Z9" s="49" t="e">
        <f t="shared" si="13"/>
        <v>#DIV/0!</v>
      </c>
      <c r="AA9" s="105">
        <f t="shared" si="0"/>
        <v>0</v>
      </c>
      <c r="AB9" s="108" t="e">
        <f t="shared" si="14"/>
        <v>#DIV/0!</v>
      </c>
      <c r="AC9" s="89">
        <f t="shared" si="1"/>
        <v>0</v>
      </c>
      <c r="AD9" s="92" t="e">
        <f t="shared" si="15"/>
        <v>#DIV/0!</v>
      </c>
      <c r="AE9" s="214"/>
      <c r="AF9" s="54"/>
      <c r="AH9" s="21">
        <f t="shared" si="2"/>
        <v>0</v>
      </c>
    </row>
    <row r="10" spans="1:34" s="289" customFormat="1">
      <c r="A10" s="289">
        <v>5102</v>
      </c>
      <c r="B10" s="289" t="s">
        <v>196</v>
      </c>
      <c r="C10" s="55"/>
      <c r="D10" s="49" t="e">
        <f>C10/C$5</f>
        <v>#DIV/0!</v>
      </c>
      <c r="E10" s="55"/>
      <c r="F10" s="49"/>
      <c r="G10" s="55"/>
      <c r="H10" s="49"/>
      <c r="I10" s="55"/>
      <c r="J10" s="49" t="e">
        <f t="shared" si="5"/>
        <v>#DIV/0!</v>
      </c>
      <c r="K10" s="55"/>
      <c r="L10" s="49" t="e">
        <f t="shared" si="6"/>
        <v>#DIV/0!</v>
      </c>
      <c r="M10" s="55"/>
      <c r="N10" s="49" t="e">
        <f t="shared" si="7"/>
        <v>#DIV/0!</v>
      </c>
      <c r="O10" s="55"/>
      <c r="P10" s="49" t="e">
        <f t="shared" si="8"/>
        <v>#DIV/0!</v>
      </c>
      <c r="Q10" s="55"/>
      <c r="R10" s="49" t="e">
        <f t="shared" si="9"/>
        <v>#DIV/0!</v>
      </c>
      <c r="S10" s="55"/>
      <c r="T10" s="49" t="e">
        <f t="shared" si="10"/>
        <v>#DIV/0!</v>
      </c>
      <c r="U10" s="55"/>
      <c r="V10" s="49" t="e">
        <f t="shared" si="11"/>
        <v>#DIV/0!</v>
      </c>
      <c r="W10" s="55"/>
      <c r="X10" s="49" t="e">
        <f t="shared" si="12"/>
        <v>#DIV/0!</v>
      </c>
      <c r="Y10" s="55"/>
      <c r="Z10" s="49" t="e">
        <f t="shared" si="13"/>
        <v>#DIV/0!</v>
      </c>
      <c r="AA10" s="105">
        <f t="shared" si="0"/>
        <v>0</v>
      </c>
      <c r="AB10" s="108" t="e">
        <f t="shared" si="14"/>
        <v>#DIV/0!</v>
      </c>
      <c r="AC10" s="89">
        <f t="shared" si="1"/>
        <v>0</v>
      </c>
      <c r="AD10" s="92" t="e">
        <f t="shared" si="15"/>
        <v>#DIV/0!</v>
      </c>
      <c r="AE10" s="214"/>
      <c r="AF10" s="54"/>
      <c r="AH10" s="21">
        <f t="shared" si="2"/>
        <v>0</v>
      </c>
    </row>
    <row r="11" spans="1:34" s="289" customFormat="1">
      <c r="A11" s="289">
        <v>5103</v>
      </c>
      <c r="B11" s="289" t="s">
        <v>63</v>
      </c>
      <c r="C11" s="46"/>
      <c r="D11" s="49" t="e">
        <f>C11/C$5</f>
        <v>#DIV/0!</v>
      </c>
      <c r="E11" s="46"/>
      <c r="F11" s="49" t="e">
        <f t="shared" si="3"/>
        <v>#DIV/0!</v>
      </c>
      <c r="G11" s="46"/>
      <c r="H11" s="49" t="e">
        <f t="shared" si="4"/>
        <v>#DIV/0!</v>
      </c>
      <c r="I11" s="46"/>
      <c r="J11" s="49" t="e">
        <f t="shared" si="5"/>
        <v>#DIV/0!</v>
      </c>
      <c r="K11" s="46"/>
      <c r="L11" s="49" t="e">
        <f t="shared" si="6"/>
        <v>#DIV/0!</v>
      </c>
      <c r="M11" s="46"/>
      <c r="N11" s="49" t="e">
        <f t="shared" si="7"/>
        <v>#DIV/0!</v>
      </c>
      <c r="O11" s="46"/>
      <c r="P11" s="49" t="e">
        <f t="shared" si="8"/>
        <v>#DIV/0!</v>
      </c>
      <c r="Q11" s="46"/>
      <c r="R11" s="49" t="e">
        <f t="shared" si="9"/>
        <v>#DIV/0!</v>
      </c>
      <c r="S11" s="46"/>
      <c r="T11" s="49" t="e">
        <f t="shared" si="10"/>
        <v>#DIV/0!</v>
      </c>
      <c r="U11" s="46"/>
      <c r="V11" s="49" t="e">
        <f t="shared" si="11"/>
        <v>#DIV/0!</v>
      </c>
      <c r="W11" s="46"/>
      <c r="X11" s="49" t="e">
        <f t="shared" si="12"/>
        <v>#DIV/0!</v>
      </c>
      <c r="Y11" s="46"/>
      <c r="Z11" s="49" t="e">
        <f t="shared" si="13"/>
        <v>#DIV/0!</v>
      </c>
      <c r="AA11" s="105">
        <f t="shared" si="0"/>
        <v>0</v>
      </c>
      <c r="AB11" s="108" t="e">
        <f t="shared" si="14"/>
        <v>#DIV/0!</v>
      </c>
      <c r="AC11" s="89">
        <f t="shared" si="1"/>
        <v>0</v>
      </c>
      <c r="AD11" s="92" t="e">
        <f t="shared" si="15"/>
        <v>#DIV/0!</v>
      </c>
      <c r="AE11" s="213"/>
      <c r="AF11" s="54"/>
      <c r="AH11" s="21">
        <f t="shared" si="2"/>
        <v>0</v>
      </c>
    </row>
    <row r="12" spans="1:34" s="289" customFormat="1" ht="15.75" thickBot="1">
      <c r="A12" s="7">
        <v>5149</v>
      </c>
      <c r="B12" s="7" t="s">
        <v>66</v>
      </c>
      <c r="C12" s="56">
        <f>C5+C6-C7-C8-C9-C10+C11</f>
        <v>0</v>
      </c>
      <c r="D12" s="257" t="e">
        <f>C12/C12</f>
        <v>#DIV/0!</v>
      </c>
      <c r="E12" s="56">
        <f>E5+E6-E7-E8-E9-E10+E11</f>
        <v>0</v>
      </c>
      <c r="F12" s="257" t="e">
        <f>E12/E12</f>
        <v>#DIV/0!</v>
      </c>
      <c r="G12" s="56">
        <f>G5+G6-G7-G8-G9-G10+G11</f>
        <v>0</v>
      </c>
      <c r="H12" s="71" t="e">
        <f>G12/G12</f>
        <v>#DIV/0!</v>
      </c>
      <c r="I12" s="56">
        <f>I5+I6-I7-I8-I9-I10+I11</f>
        <v>0</v>
      </c>
      <c r="J12" s="257" t="e">
        <f>I12/I12</f>
        <v>#DIV/0!</v>
      </c>
      <c r="K12" s="56">
        <f>K5+K6-K7-K8-K9-K10+K11</f>
        <v>0</v>
      </c>
      <c r="L12" s="257" t="e">
        <f>K12/K12</f>
        <v>#DIV/0!</v>
      </c>
      <c r="M12" s="56">
        <f>M5+M6-M7-M8-M9-M10+M11</f>
        <v>0</v>
      </c>
      <c r="N12" s="257" t="e">
        <f>M12/M12</f>
        <v>#DIV/0!</v>
      </c>
      <c r="O12" s="56">
        <f>O5+O6-O7-O8-O9-O10+O11</f>
        <v>0</v>
      </c>
      <c r="P12" s="257" t="e">
        <f>O12/O12</f>
        <v>#DIV/0!</v>
      </c>
      <c r="Q12" s="56">
        <f>Q5+Q6-Q7-Q8-Q9-Q10+Q11</f>
        <v>0</v>
      </c>
      <c r="R12" s="257" t="e">
        <f>Q12/Q12</f>
        <v>#DIV/0!</v>
      </c>
      <c r="S12" s="56">
        <f>S5+S6-S7-S8-S9-S10+S11</f>
        <v>0</v>
      </c>
      <c r="T12" s="257" t="e">
        <f>S12/S12</f>
        <v>#DIV/0!</v>
      </c>
      <c r="U12" s="56">
        <f>U5+U6-U7-U8-U9-U10+U11</f>
        <v>0</v>
      </c>
      <c r="V12" s="71" t="e">
        <f>U12/U12</f>
        <v>#DIV/0!</v>
      </c>
      <c r="W12" s="56">
        <f>W5+W6-W7-W8-W9-W10+W11</f>
        <v>0</v>
      </c>
      <c r="X12" s="71" t="e">
        <f>W12/W12</f>
        <v>#DIV/0!</v>
      </c>
      <c r="Y12" s="56">
        <f>Y5+Y6-Y7-Y8-Y9-Y10+Y11</f>
        <v>0</v>
      </c>
      <c r="Z12" s="71" t="e">
        <f>Y12/Y12</f>
        <v>#DIV/0!</v>
      </c>
      <c r="AA12" s="109">
        <f>AA5+AA6-AA7-AA8-AA9-AA10+AA11</f>
        <v>0</v>
      </c>
      <c r="AB12" s="110" t="e">
        <f>AA12/AA12</f>
        <v>#DIV/0!</v>
      </c>
      <c r="AC12" s="93">
        <f t="shared" si="1"/>
        <v>0</v>
      </c>
      <c r="AD12" s="94" t="e">
        <f>AC12/AC12</f>
        <v>#DIV/0!</v>
      </c>
      <c r="AE12" s="218" t="s">
        <v>173</v>
      </c>
      <c r="AF12" s="219">
        <v>342108</v>
      </c>
      <c r="AG12" s="209" t="s">
        <v>174</v>
      </c>
      <c r="AH12" s="21">
        <f t="shared" si="2"/>
        <v>0</v>
      </c>
    </row>
    <row r="13" spans="1:34" s="289" customFormat="1" ht="15.75" thickTop="1">
      <c r="A13" s="289">
        <v>5151</v>
      </c>
      <c r="B13" s="289" t="s">
        <v>47</v>
      </c>
      <c r="C13" s="46"/>
      <c r="D13" s="68"/>
      <c r="E13" s="46"/>
      <c r="F13" s="68"/>
      <c r="G13" s="46"/>
      <c r="H13" s="68"/>
      <c r="I13" s="46"/>
      <c r="J13" s="68"/>
      <c r="K13" s="46"/>
      <c r="L13" s="68"/>
      <c r="M13" s="46"/>
      <c r="N13" s="68"/>
      <c r="O13" s="46"/>
      <c r="P13" s="68"/>
      <c r="Q13" s="46"/>
      <c r="R13" s="68"/>
      <c r="S13" s="46"/>
      <c r="T13" s="68"/>
      <c r="U13" s="46"/>
      <c r="V13" s="68"/>
      <c r="W13" s="46"/>
      <c r="X13" s="68"/>
      <c r="Y13" s="46"/>
      <c r="Z13" s="68"/>
      <c r="AA13" s="105">
        <f>C13+E13+G13+I13+K13+M13+O13+Q13+S13+U13+W13+Y13</f>
        <v>0</v>
      </c>
      <c r="AB13" s="107"/>
      <c r="AC13" s="89">
        <f t="shared" si="1"/>
        <v>0</v>
      </c>
      <c r="AD13" s="91"/>
      <c r="AE13" s="213"/>
      <c r="AF13" s="54"/>
      <c r="AH13" s="21">
        <f t="shared" si="2"/>
        <v>0</v>
      </c>
    </row>
    <row r="14" spans="1:34" s="289" customFormat="1">
      <c r="A14" s="289">
        <v>5152</v>
      </c>
      <c r="B14" s="289" t="s">
        <v>48</v>
      </c>
      <c r="C14" s="46"/>
      <c r="D14" s="68"/>
      <c r="E14" s="46"/>
      <c r="F14" s="68"/>
      <c r="G14" s="46"/>
      <c r="H14" s="68"/>
      <c r="I14" s="46"/>
      <c r="J14" s="68"/>
      <c r="K14" s="46"/>
      <c r="L14" s="68"/>
      <c r="M14" s="46"/>
      <c r="N14" s="68"/>
      <c r="O14" s="46"/>
      <c r="P14" s="68"/>
      <c r="Q14" s="46"/>
      <c r="R14" s="68"/>
      <c r="S14" s="46"/>
      <c r="T14" s="68"/>
      <c r="U14" s="46"/>
      <c r="V14" s="68"/>
      <c r="W14" s="46"/>
      <c r="X14" s="68"/>
      <c r="Y14" s="46"/>
      <c r="Z14" s="68"/>
      <c r="AA14" s="105">
        <f>C14+E14+G14+I14+K14+M14+O14+Q14+S14+U14+W14+Y14</f>
        <v>0</v>
      </c>
      <c r="AB14" s="107"/>
      <c r="AC14" s="89">
        <f t="shared" si="1"/>
        <v>0</v>
      </c>
      <c r="AD14" s="91"/>
      <c r="AE14" s="213"/>
      <c r="AF14" s="54"/>
      <c r="AH14" s="21">
        <f t="shared" si="2"/>
        <v>0</v>
      </c>
    </row>
    <row r="15" spans="1:34" s="289" customFormat="1" ht="15.75" thickBot="1">
      <c r="A15" s="39">
        <v>5198</v>
      </c>
      <c r="B15" s="39" t="s">
        <v>107</v>
      </c>
      <c r="C15" s="57">
        <f>C13+C14</f>
        <v>0</v>
      </c>
      <c r="D15" s="72"/>
      <c r="E15" s="57">
        <f>E13+E14</f>
        <v>0</v>
      </c>
      <c r="F15" s="72"/>
      <c r="G15" s="57">
        <f>G13+G14</f>
        <v>0</v>
      </c>
      <c r="H15" s="72"/>
      <c r="I15" s="57">
        <f>I13+I14</f>
        <v>0</v>
      </c>
      <c r="J15" s="72"/>
      <c r="K15" s="57">
        <f>K13+K14</f>
        <v>0</v>
      </c>
      <c r="L15" s="72"/>
      <c r="M15" s="57">
        <f>M13+M14</f>
        <v>0</v>
      </c>
      <c r="N15" s="72"/>
      <c r="O15" s="57">
        <f>O13+O14</f>
        <v>0</v>
      </c>
      <c r="P15" s="72"/>
      <c r="Q15" s="57">
        <f>Q13+Q14</f>
        <v>0</v>
      </c>
      <c r="R15" s="72"/>
      <c r="S15" s="57">
        <f>S13+S14</f>
        <v>0</v>
      </c>
      <c r="T15" s="72"/>
      <c r="U15" s="57">
        <f>U13+U14</f>
        <v>0</v>
      </c>
      <c r="V15" s="72"/>
      <c r="W15" s="57">
        <f>W13+W14</f>
        <v>0</v>
      </c>
      <c r="X15" s="72"/>
      <c r="Y15" s="57">
        <f>Y13+Y14</f>
        <v>0</v>
      </c>
      <c r="Z15" s="72"/>
      <c r="AA15" s="109">
        <f>AA13+AA14</f>
        <v>0</v>
      </c>
      <c r="AB15" s="111"/>
      <c r="AC15" s="93">
        <f t="shared" si="1"/>
        <v>0</v>
      </c>
      <c r="AD15" s="95"/>
      <c r="AE15" s="213"/>
      <c r="AF15" s="54"/>
      <c r="AH15" s="21">
        <f t="shared" si="2"/>
        <v>0</v>
      </c>
    </row>
    <row r="16" spans="1:34" s="289" customFormat="1" ht="16.5" thickTop="1" thickBot="1">
      <c r="A16" s="41">
        <v>5199</v>
      </c>
      <c r="B16" s="41" t="s">
        <v>70</v>
      </c>
      <c r="C16" s="58">
        <f>C12+C15</f>
        <v>0</v>
      </c>
      <c r="D16" s="73" t="e">
        <f>C16/C12</f>
        <v>#DIV/0!</v>
      </c>
      <c r="E16" s="58">
        <f>E12+E15</f>
        <v>0</v>
      </c>
      <c r="F16" s="73" t="e">
        <f>E16/E12</f>
        <v>#DIV/0!</v>
      </c>
      <c r="G16" s="58">
        <f>G12+G15</f>
        <v>0</v>
      </c>
      <c r="H16" s="73" t="e">
        <f>G16/G12</f>
        <v>#DIV/0!</v>
      </c>
      <c r="I16" s="58">
        <f>I12+I15</f>
        <v>0</v>
      </c>
      <c r="J16" s="73" t="e">
        <f>I16/I12</f>
        <v>#DIV/0!</v>
      </c>
      <c r="K16" s="58">
        <f>K12+K15</f>
        <v>0</v>
      </c>
      <c r="L16" s="73" t="e">
        <f>K16/K12</f>
        <v>#DIV/0!</v>
      </c>
      <c r="M16" s="58">
        <f>M12+M15</f>
        <v>0</v>
      </c>
      <c r="N16" s="73" t="e">
        <f>M16/M12</f>
        <v>#DIV/0!</v>
      </c>
      <c r="O16" s="58">
        <f>O12+O15</f>
        <v>0</v>
      </c>
      <c r="P16" s="73" t="e">
        <f>O16/O12</f>
        <v>#DIV/0!</v>
      </c>
      <c r="Q16" s="58">
        <f>Q12+Q15</f>
        <v>0</v>
      </c>
      <c r="R16" s="73" t="e">
        <f>Q16/Q12</f>
        <v>#DIV/0!</v>
      </c>
      <c r="S16" s="58">
        <f>S12+S15</f>
        <v>0</v>
      </c>
      <c r="T16" s="73" t="e">
        <f>S16/S12</f>
        <v>#DIV/0!</v>
      </c>
      <c r="U16" s="58">
        <f>U12+U15</f>
        <v>0</v>
      </c>
      <c r="V16" s="73" t="e">
        <f>U16/U12</f>
        <v>#DIV/0!</v>
      </c>
      <c r="W16" s="58">
        <f>W12+W15</f>
        <v>0</v>
      </c>
      <c r="X16" s="73" t="e">
        <f>W16/W12</f>
        <v>#DIV/0!</v>
      </c>
      <c r="Y16" s="58">
        <f>Y12+Y15</f>
        <v>0</v>
      </c>
      <c r="Z16" s="73" t="e">
        <f>Y16/Y12</f>
        <v>#DIV/0!</v>
      </c>
      <c r="AA16" s="112">
        <f>AA12+AA15</f>
        <v>0</v>
      </c>
      <c r="AB16" s="113" t="e">
        <f>AA16/AA12</f>
        <v>#DIV/0!</v>
      </c>
      <c r="AC16" s="96">
        <f t="shared" si="1"/>
        <v>0</v>
      </c>
      <c r="AD16" s="97" t="e">
        <f>AC16/AC12</f>
        <v>#DIV/0!</v>
      </c>
      <c r="AE16" s="218" t="s">
        <v>173</v>
      </c>
      <c r="AF16" s="220">
        <v>0.52810000000000001</v>
      </c>
      <c r="AG16" s="209" t="s">
        <v>175</v>
      </c>
      <c r="AH16" s="21">
        <f t="shared" si="2"/>
        <v>0</v>
      </c>
    </row>
    <row r="17" spans="1:34" s="289" customFormat="1" ht="15.75" thickTop="1">
      <c r="A17" s="13">
        <v>5502</v>
      </c>
      <c r="B17" s="5" t="s">
        <v>49</v>
      </c>
      <c r="C17" s="189"/>
      <c r="D17" s="49" t="e">
        <f>C17/C12</f>
        <v>#DIV/0!</v>
      </c>
      <c r="E17" s="189"/>
      <c r="F17" s="49" t="e">
        <f>E17/E12</f>
        <v>#DIV/0!</v>
      </c>
      <c r="G17" s="189"/>
      <c r="H17" s="49" t="e">
        <f>G17/G12</f>
        <v>#DIV/0!</v>
      </c>
      <c r="I17" s="189"/>
      <c r="J17" s="49" t="e">
        <f>I17/I12</f>
        <v>#DIV/0!</v>
      </c>
      <c r="K17" s="189"/>
      <c r="L17" s="49" t="e">
        <f>K17/K12</f>
        <v>#DIV/0!</v>
      </c>
      <c r="M17" s="189"/>
      <c r="N17" s="49" t="e">
        <f>M17/M12</f>
        <v>#DIV/0!</v>
      </c>
      <c r="O17" s="189"/>
      <c r="P17" s="49" t="e">
        <f>O17/O12</f>
        <v>#DIV/0!</v>
      </c>
      <c r="Q17" s="189"/>
      <c r="R17" s="49" t="e">
        <f>Q17/Q12</f>
        <v>#DIV/0!</v>
      </c>
      <c r="S17" s="189"/>
      <c r="T17" s="49" t="e">
        <f>S17/S12</f>
        <v>#DIV/0!</v>
      </c>
      <c r="U17" s="189"/>
      <c r="V17" s="49" t="e">
        <f>U17/U12</f>
        <v>#DIV/0!</v>
      </c>
      <c r="W17" s="189"/>
      <c r="X17" s="49" t="e">
        <f>W17/W12</f>
        <v>#DIV/0!</v>
      </c>
      <c r="Y17" s="189"/>
      <c r="Z17" s="49" t="e">
        <f>Y17/Y12</f>
        <v>#DIV/0!</v>
      </c>
      <c r="AA17" s="105">
        <f>C17+E17+G17+I17+K17+M17+O17+Q17+S17+U17+W17+Y17</f>
        <v>0</v>
      </c>
      <c r="AB17" s="108" t="e">
        <f>AA17/AA12</f>
        <v>#DIV/0!</v>
      </c>
      <c r="AC17" s="89">
        <f t="shared" si="1"/>
        <v>0</v>
      </c>
      <c r="AD17" s="92" t="e">
        <f>AC17/AC12</f>
        <v>#DIV/0!</v>
      </c>
      <c r="AE17" s="160"/>
      <c r="AF17" s="64"/>
      <c r="AH17" s="21">
        <f t="shared" si="2"/>
        <v>0</v>
      </c>
    </row>
    <row r="18" spans="1:34" s="289" customFormat="1">
      <c r="A18" s="3">
        <v>5503</v>
      </c>
      <c r="B18" s="3" t="s">
        <v>50</v>
      </c>
      <c r="C18" s="46"/>
      <c r="D18" s="68"/>
      <c r="E18" s="46"/>
      <c r="F18" s="68"/>
      <c r="G18" s="46"/>
      <c r="H18" s="68"/>
      <c r="I18" s="46"/>
      <c r="J18" s="68"/>
      <c r="K18" s="46"/>
      <c r="L18" s="68"/>
      <c r="M18" s="46"/>
      <c r="N18" s="68"/>
      <c r="O18" s="46"/>
      <c r="P18" s="68"/>
      <c r="Q18" s="46"/>
      <c r="R18" s="68"/>
      <c r="S18" s="46"/>
      <c r="T18" s="68">
        <v>0</v>
      </c>
      <c r="U18" s="46"/>
      <c r="V18" s="68"/>
      <c r="W18" s="46"/>
      <c r="X18" s="68"/>
      <c r="Y18" s="46"/>
      <c r="Z18" s="68"/>
      <c r="AA18" s="105">
        <f>C18+E18+G18+I18+K18+M18+O18+Q18+S18+U18+W18+Y18</f>
        <v>0</v>
      </c>
      <c r="AB18" s="107"/>
      <c r="AC18" s="89">
        <f t="shared" si="1"/>
        <v>0</v>
      </c>
      <c r="AD18" s="91"/>
      <c r="AE18" s="213"/>
      <c r="AF18" s="54"/>
      <c r="AH18" s="21">
        <f t="shared" si="2"/>
        <v>0</v>
      </c>
    </row>
    <row r="19" spans="1:34" s="289" customFormat="1">
      <c r="A19" s="3">
        <v>5504</v>
      </c>
      <c r="B19" s="3" t="s">
        <v>51</v>
      </c>
      <c r="C19" s="46"/>
      <c r="D19" s="49" t="e">
        <f>C19/C12</f>
        <v>#DIV/0!</v>
      </c>
      <c r="E19" s="46"/>
      <c r="F19" s="49" t="e">
        <f>E19/E12</f>
        <v>#DIV/0!</v>
      </c>
      <c r="G19" s="46"/>
      <c r="H19" s="49" t="e">
        <f>G19/G12</f>
        <v>#DIV/0!</v>
      </c>
      <c r="I19" s="46"/>
      <c r="J19" s="49" t="e">
        <f>I19/I12</f>
        <v>#DIV/0!</v>
      </c>
      <c r="K19" s="46"/>
      <c r="L19" s="49" t="e">
        <f>K19/K12</f>
        <v>#DIV/0!</v>
      </c>
      <c r="M19" s="46"/>
      <c r="N19" s="49" t="e">
        <f>M19/M12</f>
        <v>#DIV/0!</v>
      </c>
      <c r="O19" s="46"/>
      <c r="P19" s="49" t="e">
        <f>O19/O12</f>
        <v>#DIV/0!</v>
      </c>
      <c r="Q19" s="46"/>
      <c r="R19" s="49" t="e">
        <f>Q19/Q12</f>
        <v>#DIV/0!</v>
      </c>
      <c r="S19" s="46"/>
      <c r="T19" s="49" t="e">
        <f>S19/S12</f>
        <v>#DIV/0!</v>
      </c>
      <c r="U19" s="46"/>
      <c r="V19" s="49" t="e">
        <f>U19/U12</f>
        <v>#DIV/0!</v>
      </c>
      <c r="W19" s="46"/>
      <c r="X19" s="49" t="e">
        <f>W19/W12</f>
        <v>#DIV/0!</v>
      </c>
      <c r="Y19" s="46"/>
      <c r="Z19" s="49" t="e">
        <f>Y19/Y12</f>
        <v>#DIV/0!</v>
      </c>
      <c r="AA19" s="105">
        <f>C19+E19+G19+I19+K19+M19+O19+Q19+S19+U19+W19+Y19</f>
        <v>0</v>
      </c>
      <c r="AB19" s="108" t="e">
        <f>AA19/AA12</f>
        <v>#DIV/0!</v>
      </c>
      <c r="AC19" s="89">
        <f t="shared" si="1"/>
        <v>0</v>
      </c>
      <c r="AD19" s="92" t="e">
        <f>AC19/AC12</f>
        <v>#DIV/0!</v>
      </c>
      <c r="AE19" s="214"/>
      <c r="AF19" s="54"/>
      <c r="AH19" s="21">
        <f t="shared" si="2"/>
        <v>0</v>
      </c>
    </row>
    <row r="20" spans="1:34" s="289" customFormat="1">
      <c r="A20" s="3">
        <v>5505</v>
      </c>
      <c r="B20" s="3" t="s">
        <v>52</v>
      </c>
      <c r="C20" s="46"/>
      <c r="D20" s="68"/>
      <c r="E20" s="46"/>
      <c r="F20" s="68"/>
      <c r="G20" s="46"/>
      <c r="H20" s="68"/>
      <c r="I20" s="46"/>
      <c r="J20" s="68"/>
      <c r="K20" s="46"/>
      <c r="L20" s="68"/>
      <c r="M20" s="46"/>
      <c r="N20" s="68"/>
      <c r="O20" s="46"/>
      <c r="P20" s="68"/>
      <c r="Q20" s="46"/>
      <c r="R20" s="68"/>
      <c r="S20" s="46"/>
      <c r="T20" s="68"/>
      <c r="U20" s="46"/>
      <c r="V20" s="68"/>
      <c r="W20" s="46"/>
      <c r="X20" s="68"/>
      <c r="Y20" s="46"/>
      <c r="Z20" s="68"/>
      <c r="AA20" s="105">
        <f>C20+E20+G20+I20+K20+M20+O20+Q20+S20+U20+W20+Y20</f>
        <v>0</v>
      </c>
      <c r="AB20" s="107"/>
      <c r="AC20" s="89">
        <f t="shared" si="1"/>
        <v>0</v>
      </c>
      <c r="AD20" s="91"/>
      <c r="AE20" s="213"/>
      <c r="AF20" s="54"/>
      <c r="AH20" s="21">
        <f t="shared" si="2"/>
        <v>0</v>
      </c>
    </row>
    <row r="21" spans="1:34" s="289" customFormat="1" ht="15.75" thickBot="1">
      <c r="A21" s="8">
        <v>5599</v>
      </c>
      <c r="B21" s="8" t="s">
        <v>108</v>
      </c>
      <c r="C21" s="56">
        <f>SUM(C17:C20)</f>
        <v>0</v>
      </c>
      <c r="D21" s="71" t="e">
        <f>C21/C12</f>
        <v>#DIV/0!</v>
      </c>
      <c r="E21" s="56">
        <f>SUM(E17:E20)</f>
        <v>0</v>
      </c>
      <c r="F21" s="71" t="e">
        <f>E21/E12</f>
        <v>#DIV/0!</v>
      </c>
      <c r="G21" s="56">
        <f>SUM(G17:G20)</f>
        <v>0</v>
      </c>
      <c r="H21" s="71" t="e">
        <f>G21/G12</f>
        <v>#DIV/0!</v>
      </c>
      <c r="I21" s="56">
        <f>SUM(I17:I20)</f>
        <v>0</v>
      </c>
      <c r="J21" s="71" t="e">
        <f>I21/I12</f>
        <v>#DIV/0!</v>
      </c>
      <c r="K21" s="56">
        <f>SUM(K17:K20)</f>
        <v>0</v>
      </c>
      <c r="L21" s="71" t="e">
        <f>K21/K12</f>
        <v>#DIV/0!</v>
      </c>
      <c r="M21" s="56">
        <f>SUM(M17:M20)</f>
        <v>0</v>
      </c>
      <c r="N21" s="71" t="e">
        <f>M21/M12</f>
        <v>#DIV/0!</v>
      </c>
      <c r="O21" s="56">
        <f>SUM(O17:O20)</f>
        <v>0</v>
      </c>
      <c r="P21" s="71" t="e">
        <f>O21/O12</f>
        <v>#DIV/0!</v>
      </c>
      <c r="Q21" s="56">
        <f>SUM(Q17:Q20)</f>
        <v>0</v>
      </c>
      <c r="R21" s="71" t="e">
        <f>Q21/Q12</f>
        <v>#DIV/0!</v>
      </c>
      <c r="S21" s="56">
        <f>SUM(S17:S20)</f>
        <v>0</v>
      </c>
      <c r="T21" s="71" t="e">
        <f>S21/S12</f>
        <v>#DIV/0!</v>
      </c>
      <c r="U21" s="56">
        <f>SUM(U17:U20)</f>
        <v>0</v>
      </c>
      <c r="V21" s="71" t="e">
        <f>U21/U12</f>
        <v>#DIV/0!</v>
      </c>
      <c r="W21" s="56">
        <f>SUM(W17:W20)</f>
        <v>0</v>
      </c>
      <c r="X21" s="71" t="e">
        <f>W21/W12</f>
        <v>#DIV/0!</v>
      </c>
      <c r="Y21" s="56">
        <f>SUM(Y17:Y20)</f>
        <v>0</v>
      </c>
      <c r="Z21" s="71" t="e">
        <f>Y21/Y12</f>
        <v>#DIV/0!</v>
      </c>
      <c r="AA21" s="109">
        <f>SUM(AA17:AA20)</f>
        <v>0</v>
      </c>
      <c r="AB21" s="110" t="e">
        <f>AA21/AA12</f>
        <v>#DIV/0!</v>
      </c>
      <c r="AC21" s="93">
        <f t="shared" si="1"/>
        <v>0</v>
      </c>
      <c r="AD21" s="94" t="e">
        <f>AC21/AC12</f>
        <v>#DIV/0!</v>
      </c>
      <c r="AE21" s="218"/>
      <c r="AF21" s="219"/>
      <c r="AG21" s="209"/>
      <c r="AH21" s="21">
        <f t="shared" si="2"/>
        <v>0</v>
      </c>
    </row>
    <row r="22" spans="1:34" s="289" customFormat="1" ht="15.75" thickTop="1">
      <c r="A22" s="3">
        <v>5601</v>
      </c>
      <c r="B22" s="3" t="s">
        <v>53</v>
      </c>
      <c r="C22" s="46"/>
      <c r="D22" s="49" t="e">
        <f t="shared" ref="D22:D34" si="16">C22/C$12</f>
        <v>#DIV/0!</v>
      </c>
      <c r="E22" s="46"/>
      <c r="F22" s="49" t="e">
        <f t="shared" ref="F22:F35" si="17">E22/E$12</f>
        <v>#DIV/0!</v>
      </c>
      <c r="G22" s="46"/>
      <c r="H22" s="49" t="e">
        <f t="shared" ref="H22:H34" si="18">G22/G$12</f>
        <v>#DIV/0!</v>
      </c>
      <c r="I22" s="46"/>
      <c r="J22" s="49" t="e">
        <f t="shared" ref="J22:J34" si="19">I22/I$12</f>
        <v>#DIV/0!</v>
      </c>
      <c r="K22" s="46"/>
      <c r="L22" s="49" t="e">
        <f t="shared" ref="L22:L34" si="20">K22/K$12</f>
        <v>#DIV/0!</v>
      </c>
      <c r="M22" s="46"/>
      <c r="N22" s="49" t="e">
        <f t="shared" ref="N22:N34" si="21">M22/M$12</f>
        <v>#DIV/0!</v>
      </c>
      <c r="O22" s="46"/>
      <c r="P22" s="49" t="e">
        <f t="shared" ref="P22:P34" si="22">O22/O$12</f>
        <v>#DIV/0!</v>
      </c>
      <c r="Q22" s="46"/>
      <c r="R22" s="49" t="e">
        <f>Q22/Q$12</f>
        <v>#DIV/0!</v>
      </c>
      <c r="S22" s="46"/>
      <c r="T22" s="49" t="e">
        <f t="shared" ref="T22:T34" si="23">S22/S$12</f>
        <v>#DIV/0!</v>
      </c>
      <c r="U22" s="46"/>
      <c r="V22" s="49" t="e">
        <f t="shared" ref="V22:V34" si="24">U22/U$12</f>
        <v>#DIV/0!</v>
      </c>
      <c r="W22" s="46"/>
      <c r="X22" s="49" t="e">
        <f>W22/W$12</f>
        <v>#DIV/0!</v>
      </c>
      <c r="Y22" s="46"/>
      <c r="Z22" s="49" t="e">
        <f t="shared" ref="Z22:Z34" si="25">Y22/Y$12</f>
        <v>#DIV/0!</v>
      </c>
      <c r="AA22" s="105">
        <f t="shared" ref="AA22:AA34" si="26">C22+E22+G22+I22+K22+M22+O22+Q22+S22+U22+W22+Y22</f>
        <v>0</v>
      </c>
      <c r="AB22" s="108" t="e">
        <f t="shared" ref="AB22:AB34" si="27">AA22/AA$12</f>
        <v>#DIV/0!</v>
      </c>
      <c r="AC22" s="89">
        <f t="shared" si="1"/>
        <v>0</v>
      </c>
      <c r="AD22" s="92" t="e">
        <f t="shared" ref="AD22:AD34" si="28">AC22/AC$12</f>
        <v>#DIV/0!</v>
      </c>
      <c r="AE22" s="214"/>
      <c r="AF22" s="54"/>
      <c r="AH22" s="21">
        <f t="shared" si="2"/>
        <v>0</v>
      </c>
    </row>
    <row r="23" spans="1:34" s="289" customFormat="1">
      <c r="A23" s="3">
        <v>5602</v>
      </c>
      <c r="B23" s="3" t="s">
        <v>54</v>
      </c>
      <c r="C23" s="46"/>
      <c r="D23" s="49" t="e">
        <f t="shared" si="16"/>
        <v>#DIV/0!</v>
      </c>
      <c r="E23" s="46"/>
      <c r="F23" s="49" t="e">
        <f t="shared" si="17"/>
        <v>#DIV/0!</v>
      </c>
      <c r="G23" s="46"/>
      <c r="H23" s="49" t="e">
        <f t="shared" si="18"/>
        <v>#DIV/0!</v>
      </c>
      <c r="I23" s="46"/>
      <c r="J23" s="49" t="e">
        <f t="shared" si="19"/>
        <v>#DIV/0!</v>
      </c>
      <c r="K23" s="46"/>
      <c r="L23" s="49" t="e">
        <f t="shared" si="20"/>
        <v>#DIV/0!</v>
      </c>
      <c r="M23" s="46"/>
      <c r="N23" s="49" t="e">
        <f t="shared" si="21"/>
        <v>#DIV/0!</v>
      </c>
      <c r="O23" s="46"/>
      <c r="P23" s="49" t="e">
        <f t="shared" si="22"/>
        <v>#DIV/0!</v>
      </c>
      <c r="Q23" s="46"/>
      <c r="R23" s="49" t="e">
        <f>Q23/Q$12</f>
        <v>#DIV/0!</v>
      </c>
      <c r="S23" s="46"/>
      <c r="T23" s="49" t="e">
        <f t="shared" si="23"/>
        <v>#DIV/0!</v>
      </c>
      <c r="U23" s="46"/>
      <c r="V23" s="49" t="e">
        <f t="shared" si="24"/>
        <v>#DIV/0!</v>
      </c>
      <c r="W23" s="46"/>
      <c r="X23" s="49" t="e">
        <f>W23/W$12</f>
        <v>#DIV/0!</v>
      </c>
      <c r="Y23" s="46"/>
      <c r="Z23" s="49" t="e">
        <f t="shared" si="25"/>
        <v>#DIV/0!</v>
      </c>
      <c r="AA23" s="105">
        <f t="shared" si="26"/>
        <v>0</v>
      </c>
      <c r="AB23" s="108" t="e">
        <f t="shared" si="27"/>
        <v>#DIV/0!</v>
      </c>
      <c r="AC23" s="89">
        <f t="shared" si="1"/>
        <v>0</v>
      </c>
      <c r="AD23" s="92" t="e">
        <f t="shared" si="28"/>
        <v>#DIV/0!</v>
      </c>
      <c r="AE23" s="214"/>
      <c r="AF23" s="54"/>
      <c r="AH23" s="21">
        <f t="shared" si="2"/>
        <v>0</v>
      </c>
    </row>
    <row r="24" spans="1:34" s="289" customFormat="1">
      <c r="A24" s="3">
        <v>5603</v>
      </c>
      <c r="B24" s="3" t="s">
        <v>55</v>
      </c>
      <c r="C24" s="46"/>
      <c r="D24" s="49" t="e">
        <f t="shared" si="16"/>
        <v>#DIV/0!</v>
      </c>
      <c r="E24" s="46"/>
      <c r="F24" s="49" t="e">
        <f t="shared" si="17"/>
        <v>#DIV/0!</v>
      </c>
      <c r="G24" s="46"/>
      <c r="H24" s="49" t="e">
        <f t="shared" si="18"/>
        <v>#DIV/0!</v>
      </c>
      <c r="I24" s="46"/>
      <c r="J24" s="49" t="e">
        <f t="shared" si="19"/>
        <v>#DIV/0!</v>
      </c>
      <c r="K24" s="46"/>
      <c r="L24" s="49" t="e">
        <f t="shared" si="20"/>
        <v>#DIV/0!</v>
      </c>
      <c r="M24" s="46"/>
      <c r="N24" s="49" t="e">
        <f t="shared" si="21"/>
        <v>#DIV/0!</v>
      </c>
      <c r="O24" s="46"/>
      <c r="P24" s="49" t="e">
        <f t="shared" si="22"/>
        <v>#DIV/0!</v>
      </c>
      <c r="Q24" s="46"/>
      <c r="R24" s="49" t="e">
        <f>Q24/Q$12</f>
        <v>#DIV/0!</v>
      </c>
      <c r="S24" s="46"/>
      <c r="T24" s="49" t="e">
        <f t="shared" si="23"/>
        <v>#DIV/0!</v>
      </c>
      <c r="U24" s="46"/>
      <c r="V24" s="49" t="e">
        <f t="shared" si="24"/>
        <v>#DIV/0!</v>
      </c>
      <c r="W24" s="46"/>
      <c r="X24" s="49" t="e">
        <f>W24/W$12</f>
        <v>#DIV/0!</v>
      </c>
      <c r="Y24" s="46"/>
      <c r="Z24" s="49" t="e">
        <f t="shared" si="25"/>
        <v>#DIV/0!</v>
      </c>
      <c r="AA24" s="105">
        <f t="shared" si="26"/>
        <v>0</v>
      </c>
      <c r="AB24" s="108" t="e">
        <f t="shared" si="27"/>
        <v>#DIV/0!</v>
      </c>
      <c r="AC24" s="89">
        <f t="shared" si="1"/>
        <v>0</v>
      </c>
      <c r="AD24" s="92" t="e">
        <f t="shared" si="28"/>
        <v>#DIV/0!</v>
      </c>
      <c r="AE24" s="214"/>
      <c r="AF24" s="54"/>
      <c r="AH24" s="21">
        <f t="shared" si="2"/>
        <v>0</v>
      </c>
    </row>
    <row r="25" spans="1:34" s="289" customFormat="1">
      <c r="A25" s="3">
        <v>5604</v>
      </c>
      <c r="B25" s="3" t="s">
        <v>56</v>
      </c>
      <c r="C25" s="46"/>
      <c r="D25" s="49" t="e">
        <f t="shared" si="16"/>
        <v>#DIV/0!</v>
      </c>
      <c r="E25" s="46"/>
      <c r="F25" s="49" t="e">
        <f t="shared" si="17"/>
        <v>#DIV/0!</v>
      </c>
      <c r="G25" s="46"/>
      <c r="H25" s="49" t="e">
        <f t="shared" si="18"/>
        <v>#DIV/0!</v>
      </c>
      <c r="I25" s="46"/>
      <c r="J25" s="49" t="e">
        <f t="shared" si="19"/>
        <v>#DIV/0!</v>
      </c>
      <c r="K25" s="46"/>
      <c r="L25" s="49" t="e">
        <f t="shared" si="20"/>
        <v>#DIV/0!</v>
      </c>
      <c r="M25" s="46"/>
      <c r="N25" s="49" t="e">
        <f t="shared" si="21"/>
        <v>#DIV/0!</v>
      </c>
      <c r="O25" s="46"/>
      <c r="P25" s="49" t="e">
        <f t="shared" si="22"/>
        <v>#DIV/0!</v>
      </c>
      <c r="Q25" s="46"/>
      <c r="R25" s="49" t="e">
        <f>Q25/Q$12</f>
        <v>#DIV/0!</v>
      </c>
      <c r="S25" s="46"/>
      <c r="T25" s="49" t="e">
        <f t="shared" si="23"/>
        <v>#DIV/0!</v>
      </c>
      <c r="U25" s="46"/>
      <c r="V25" s="49" t="e">
        <f t="shared" si="24"/>
        <v>#DIV/0!</v>
      </c>
      <c r="W25" s="46"/>
      <c r="X25" s="49" t="e">
        <f>W25/W$12</f>
        <v>#DIV/0!</v>
      </c>
      <c r="Y25" s="46"/>
      <c r="Z25" s="49" t="e">
        <f t="shared" si="25"/>
        <v>#DIV/0!</v>
      </c>
      <c r="AA25" s="105">
        <f t="shared" si="26"/>
        <v>0</v>
      </c>
      <c r="AB25" s="108" t="e">
        <f t="shared" si="27"/>
        <v>#DIV/0!</v>
      </c>
      <c r="AC25" s="89">
        <f t="shared" si="1"/>
        <v>0</v>
      </c>
      <c r="AD25" s="92" t="e">
        <f t="shared" si="28"/>
        <v>#DIV/0!</v>
      </c>
      <c r="AE25" s="214" t="s">
        <v>177</v>
      </c>
      <c r="AF25" s="54">
        <v>75</v>
      </c>
      <c r="AG25" s="289" t="s">
        <v>176</v>
      </c>
      <c r="AH25" s="21">
        <f t="shared" si="2"/>
        <v>0</v>
      </c>
    </row>
    <row r="26" spans="1:34" s="289" customFormat="1">
      <c r="A26" s="3">
        <v>5605</v>
      </c>
      <c r="B26" s="3" t="s">
        <v>14</v>
      </c>
      <c r="C26" s="46"/>
      <c r="D26" s="49" t="e">
        <f t="shared" si="16"/>
        <v>#DIV/0!</v>
      </c>
      <c r="E26" s="46"/>
      <c r="F26" s="49" t="e">
        <f t="shared" si="17"/>
        <v>#DIV/0!</v>
      </c>
      <c r="G26" s="46"/>
      <c r="H26" s="49" t="e">
        <f t="shared" si="18"/>
        <v>#DIV/0!</v>
      </c>
      <c r="I26" s="46"/>
      <c r="J26" s="49" t="e">
        <f t="shared" si="19"/>
        <v>#DIV/0!</v>
      </c>
      <c r="K26" s="46"/>
      <c r="L26" s="49" t="e">
        <f t="shared" si="20"/>
        <v>#DIV/0!</v>
      </c>
      <c r="M26" s="46"/>
      <c r="N26" s="49" t="e">
        <f t="shared" si="21"/>
        <v>#DIV/0!</v>
      </c>
      <c r="O26" s="46"/>
      <c r="P26" s="49" t="e">
        <f t="shared" si="22"/>
        <v>#DIV/0!</v>
      </c>
      <c r="Q26" s="46"/>
      <c r="R26" s="49" t="e">
        <f>Q26/Q$12</f>
        <v>#DIV/0!</v>
      </c>
      <c r="S26" s="46"/>
      <c r="T26" s="49" t="e">
        <f t="shared" si="23"/>
        <v>#DIV/0!</v>
      </c>
      <c r="U26" s="46"/>
      <c r="V26" s="49" t="e">
        <f t="shared" si="24"/>
        <v>#DIV/0!</v>
      </c>
      <c r="W26" s="46"/>
      <c r="X26" s="49" t="e">
        <f>W26/W$12</f>
        <v>#DIV/0!</v>
      </c>
      <c r="Y26" s="46"/>
      <c r="Z26" s="49" t="e">
        <f t="shared" si="25"/>
        <v>#DIV/0!</v>
      </c>
      <c r="AA26" s="105">
        <f t="shared" si="26"/>
        <v>0</v>
      </c>
      <c r="AB26" s="108" t="e">
        <f t="shared" si="27"/>
        <v>#DIV/0!</v>
      </c>
      <c r="AC26" s="89">
        <f t="shared" si="1"/>
        <v>0</v>
      </c>
      <c r="AD26" s="92" t="e">
        <f t="shared" si="28"/>
        <v>#DIV/0!</v>
      </c>
      <c r="AE26" s="214"/>
      <c r="AF26" s="54"/>
      <c r="AH26" s="21">
        <f t="shared" si="2"/>
        <v>0</v>
      </c>
    </row>
    <row r="27" spans="1:34" s="289" customFormat="1">
      <c r="A27" s="3">
        <v>5606</v>
      </c>
      <c r="B27" s="3" t="s">
        <v>77</v>
      </c>
      <c r="C27" s="46"/>
      <c r="D27" s="49" t="e">
        <f t="shared" si="16"/>
        <v>#DIV/0!</v>
      </c>
      <c r="E27" s="46"/>
      <c r="F27" s="49" t="e">
        <f t="shared" si="17"/>
        <v>#DIV/0!</v>
      </c>
      <c r="G27" s="46"/>
      <c r="H27" s="49" t="e">
        <f t="shared" si="18"/>
        <v>#DIV/0!</v>
      </c>
      <c r="I27" s="46"/>
      <c r="J27" s="49" t="e">
        <f t="shared" si="19"/>
        <v>#DIV/0!</v>
      </c>
      <c r="K27" s="46"/>
      <c r="L27" s="49" t="e">
        <f t="shared" si="20"/>
        <v>#DIV/0!</v>
      </c>
      <c r="M27" s="46"/>
      <c r="N27" s="49" t="e">
        <f t="shared" si="21"/>
        <v>#DIV/0!</v>
      </c>
      <c r="O27" s="46"/>
      <c r="P27" s="49" t="e">
        <f t="shared" si="22"/>
        <v>#DIV/0!</v>
      </c>
      <c r="Q27" s="46"/>
      <c r="R27" s="49" t="e">
        <f>Q27/Q12</f>
        <v>#DIV/0!</v>
      </c>
      <c r="S27" s="46"/>
      <c r="T27" s="49" t="e">
        <f t="shared" si="23"/>
        <v>#DIV/0!</v>
      </c>
      <c r="U27" s="46"/>
      <c r="V27" s="49" t="e">
        <f t="shared" si="24"/>
        <v>#DIV/0!</v>
      </c>
      <c r="W27" s="46"/>
      <c r="X27" s="49" t="e">
        <f>W27/W12</f>
        <v>#DIV/0!</v>
      </c>
      <c r="Y27" s="46"/>
      <c r="Z27" s="49" t="e">
        <f t="shared" si="25"/>
        <v>#DIV/0!</v>
      </c>
      <c r="AA27" s="105">
        <f t="shared" si="26"/>
        <v>0</v>
      </c>
      <c r="AB27" s="108" t="e">
        <f t="shared" si="27"/>
        <v>#DIV/0!</v>
      </c>
      <c r="AC27" s="89">
        <f t="shared" si="1"/>
        <v>0</v>
      </c>
      <c r="AD27" s="92" t="e">
        <f t="shared" si="28"/>
        <v>#DIV/0!</v>
      </c>
      <c r="AE27" s="214" t="s">
        <v>177</v>
      </c>
      <c r="AF27" s="54"/>
      <c r="AG27" s="289" t="s">
        <v>178</v>
      </c>
      <c r="AH27" s="21">
        <f t="shared" si="2"/>
        <v>0</v>
      </c>
    </row>
    <row r="28" spans="1:34" s="289" customFormat="1">
      <c r="A28" s="3">
        <v>5607</v>
      </c>
      <c r="B28" s="3" t="s">
        <v>57</v>
      </c>
      <c r="C28" s="46"/>
      <c r="D28" s="49" t="e">
        <f t="shared" si="16"/>
        <v>#DIV/0!</v>
      </c>
      <c r="E28" s="46"/>
      <c r="F28" s="49" t="e">
        <f t="shared" si="17"/>
        <v>#DIV/0!</v>
      </c>
      <c r="G28" s="46"/>
      <c r="H28" s="49" t="e">
        <f t="shared" si="18"/>
        <v>#DIV/0!</v>
      </c>
      <c r="I28" s="46"/>
      <c r="J28" s="49" t="e">
        <f t="shared" si="19"/>
        <v>#DIV/0!</v>
      </c>
      <c r="K28" s="46"/>
      <c r="L28" s="49" t="e">
        <f t="shared" si="20"/>
        <v>#DIV/0!</v>
      </c>
      <c r="M28" s="46"/>
      <c r="N28" s="49" t="e">
        <f t="shared" si="21"/>
        <v>#DIV/0!</v>
      </c>
      <c r="O28" s="46"/>
      <c r="P28" s="49" t="e">
        <f t="shared" si="22"/>
        <v>#DIV/0!</v>
      </c>
      <c r="Q28" s="46"/>
      <c r="R28" s="49" t="e">
        <f t="shared" ref="R28:R34" si="29">Q28/Q$12</f>
        <v>#DIV/0!</v>
      </c>
      <c r="S28" s="46"/>
      <c r="T28" s="49" t="e">
        <f t="shared" si="23"/>
        <v>#DIV/0!</v>
      </c>
      <c r="U28" s="46"/>
      <c r="V28" s="49" t="e">
        <f t="shared" si="24"/>
        <v>#DIV/0!</v>
      </c>
      <c r="W28" s="46"/>
      <c r="X28" s="49" t="e">
        <f t="shared" ref="X28:X34" si="30">W28/W$12</f>
        <v>#DIV/0!</v>
      </c>
      <c r="Y28" s="46"/>
      <c r="Z28" s="49" t="e">
        <f t="shared" si="25"/>
        <v>#DIV/0!</v>
      </c>
      <c r="AA28" s="105">
        <f t="shared" si="26"/>
        <v>0</v>
      </c>
      <c r="AB28" s="108" t="e">
        <f t="shared" si="27"/>
        <v>#DIV/0!</v>
      </c>
      <c r="AC28" s="89">
        <f t="shared" si="1"/>
        <v>0</v>
      </c>
      <c r="AD28" s="92" t="e">
        <f t="shared" si="28"/>
        <v>#DIV/0!</v>
      </c>
      <c r="AE28" s="214"/>
      <c r="AF28" s="54"/>
      <c r="AH28" s="21">
        <f t="shared" si="2"/>
        <v>0</v>
      </c>
    </row>
    <row r="29" spans="1:34" s="289" customFormat="1">
      <c r="A29" s="3">
        <v>5608</v>
      </c>
      <c r="B29" s="3" t="s">
        <v>58</v>
      </c>
      <c r="C29" s="46"/>
      <c r="D29" s="49" t="e">
        <f t="shared" si="16"/>
        <v>#DIV/0!</v>
      </c>
      <c r="E29" s="46"/>
      <c r="F29" s="49" t="e">
        <f t="shared" si="17"/>
        <v>#DIV/0!</v>
      </c>
      <c r="G29" s="46"/>
      <c r="H29" s="49" t="e">
        <f t="shared" si="18"/>
        <v>#DIV/0!</v>
      </c>
      <c r="I29" s="46"/>
      <c r="J29" s="49" t="e">
        <f t="shared" si="19"/>
        <v>#DIV/0!</v>
      </c>
      <c r="K29" s="46"/>
      <c r="L29" s="49" t="e">
        <f t="shared" si="20"/>
        <v>#DIV/0!</v>
      </c>
      <c r="M29" s="46"/>
      <c r="N29" s="49" t="e">
        <f t="shared" si="21"/>
        <v>#DIV/0!</v>
      </c>
      <c r="O29" s="46"/>
      <c r="P29" s="49" t="e">
        <f t="shared" si="22"/>
        <v>#DIV/0!</v>
      </c>
      <c r="Q29" s="46"/>
      <c r="R29" s="49" t="e">
        <f t="shared" si="29"/>
        <v>#DIV/0!</v>
      </c>
      <c r="S29" s="46"/>
      <c r="T29" s="49" t="e">
        <f t="shared" si="23"/>
        <v>#DIV/0!</v>
      </c>
      <c r="U29" s="46"/>
      <c r="V29" s="49" t="e">
        <f t="shared" si="24"/>
        <v>#DIV/0!</v>
      </c>
      <c r="W29" s="46"/>
      <c r="X29" s="49" t="e">
        <f t="shared" si="30"/>
        <v>#DIV/0!</v>
      </c>
      <c r="Y29" s="46"/>
      <c r="Z29" s="49" t="e">
        <f t="shared" si="25"/>
        <v>#DIV/0!</v>
      </c>
      <c r="AA29" s="105">
        <f t="shared" si="26"/>
        <v>0</v>
      </c>
      <c r="AB29" s="108" t="e">
        <f t="shared" si="27"/>
        <v>#DIV/0!</v>
      </c>
      <c r="AC29" s="89">
        <f t="shared" si="1"/>
        <v>0</v>
      </c>
      <c r="AD29" s="92" t="e">
        <f t="shared" si="28"/>
        <v>#DIV/0!</v>
      </c>
      <c r="AE29" s="214"/>
      <c r="AF29" s="54"/>
      <c r="AH29" s="21">
        <f t="shared" si="2"/>
        <v>0</v>
      </c>
    </row>
    <row r="30" spans="1:34" s="289" customFormat="1">
      <c r="A30" s="3">
        <v>5609</v>
      </c>
      <c r="B30" s="3" t="s">
        <v>59</v>
      </c>
      <c r="C30" s="46"/>
      <c r="D30" s="49" t="e">
        <f t="shared" si="16"/>
        <v>#DIV/0!</v>
      </c>
      <c r="E30" s="46"/>
      <c r="F30" s="49" t="e">
        <f t="shared" si="17"/>
        <v>#DIV/0!</v>
      </c>
      <c r="G30" s="46"/>
      <c r="H30" s="49" t="e">
        <f t="shared" si="18"/>
        <v>#DIV/0!</v>
      </c>
      <c r="I30" s="46"/>
      <c r="J30" s="49" t="e">
        <f t="shared" si="19"/>
        <v>#DIV/0!</v>
      </c>
      <c r="K30" s="46"/>
      <c r="L30" s="49" t="e">
        <f t="shared" si="20"/>
        <v>#DIV/0!</v>
      </c>
      <c r="M30" s="46"/>
      <c r="N30" s="49" t="e">
        <f t="shared" si="21"/>
        <v>#DIV/0!</v>
      </c>
      <c r="O30" s="46"/>
      <c r="P30" s="49" t="e">
        <f t="shared" si="22"/>
        <v>#DIV/0!</v>
      </c>
      <c r="Q30" s="46"/>
      <c r="R30" s="49" t="e">
        <f t="shared" si="29"/>
        <v>#DIV/0!</v>
      </c>
      <c r="S30" s="46"/>
      <c r="T30" s="49" t="e">
        <f t="shared" si="23"/>
        <v>#DIV/0!</v>
      </c>
      <c r="U30" s="46"/>
      <c r="V30" s="49" t="e">
        <f t="shared" si="24"/>
        <v>#DIV/0!</v>
      </c>
      <c r="W30" s="46"/>
      <c r="X30" s="49" t="e">
        <f t="shared" si="30"/>
        <v>#DIV/0!</v>
      </c>
      <c r="Y30" s="46"/>
      <c r="Z30" s="49" t="e">
        <f t="shared" si="25"/>
        <v>#DIV/0!</v>
      </c>
      <c r="AA30" s="105">
        <f t="shared" si="26"/>
        <v>0</v>
      </c>
      <c r="AB30" s="108" t="e">
        <f t="shared" si="27"/>
        <v>#DIV/0!</v>
      </c>
      <c r="AC30" s="89">
        <f t="shared" si="1"/>
        <v>0</v>
      </c>
      <c r="AD30" s="92" t="e">
        <f t="shared" si="28"/>
        <v>#DIV/0!</v>
      </c>
      <c r="AE30" s="214"/>
      <c r="AF30" s="54"/>
      <c r="AH30" s="21">
        <f t="shared" si="2"/>
        <v>0</v>
      </c>
    </row>
    <row r="31" spans="1:34" s="289" customFormat="1">
      <c r="A31" s="3">
        <v>5610</v>
      </c>
      <c r="B31" s="3" t="s">
        <v>60</v>
      </c>
      <c r="C31" s="46"/>
      <c r="D31" s="49" t="e">
        <f t="shared" si="16"/>
        <v>#DIV/0!</v>
      </c>
      <c r="E31" s="46"/>
      <c r="F31" s="49" t="e">
        <f t="shared" si="17"/>
        <v>#DIV/0!</v>
      </c>
      <c r="G31" s="46"/>
      <c r="H31" s="49" t="e">
        <f t="shared" si="18"/>
        <v>#DIV/0!</v>
      </c>
      <c r="I31" s="46"/>
      <c r="J31" s="49" t="e">
        <f t="shared" si="19"/>
        <v>#DIV/0!</v>
      </c>
      <c r="K31" s="46"/>
      <c r="L31" s="49" t="e">
        <f t="shared" si="20"/>
        <v>#DIV/0!</v>
      </c>
      <c r="M31" s="46"/>
      <c r="N31" s="49" t="e">
        <f t="shared" si="21"/>
        <v>#DIV/0!</v>
      </c>
      <c r="O31" s="46"/>
      <c r="P31" s="49" t="e">
        <f t="shared" si="22"/>
        <v>#DIV/0!</v>
      </c>
      <c r="Q31" s="46"/>
      <c r="R31" s="49" t="e">
        <f t="shared" si="29"/>
        <v>#DIV/0!</v>
      </c>
      <c r="S31" s="46"/>
      <c r="T31" s="49" t="e">
        <f t="shared" si="23"/>
        <v>#DIV/0!</v>
      </c>
      <c r="U31" s="46"/>
      <c r="V31" s="49" t="e">
        <f t="shared" si="24"/>
        <v>#DIV/0!</v>
      </c>
      <c r="W31" s="46"/>
      <c r="X31" s="49" t="e">
        <f t="shared" si="30"/>
        <v>#DIV/0!</v>
      </c>
      <c r="Y31" s="46"/>
      <c r="Z31" s="49" t="e">
        <f t="shared" si="25"/>
        <v>#DIV/0!</v>
      </c>
      <c r="AA31" s="105">
        <f t="shared" si="26"/>
        <v>0</v>
      </c>
      <c r="AB31" s="108" t="e">
        <f t="shared" si="27"/>
        <v>#DIV/0!</v>
      </c>
      <c r="AC31" s="89">
        <f t="shared" si="1"/>
        <v>0</v>
      </c>
      <c r="AD31" s="92" t="e">
        <f t="shared" si="28"/>
        <v>#DIV/0!</v>
      </c>
      <c r="AE31" s="214"/>
      <c r="AF31" s="54"/>
      <c r="AH31" s="21">
        <f t="shared" si="2"/>
        <v>0</v>
      </c>
    </row>
    <row r="32" spans="1:34" s="289" customFormat="1">
      <c r="A32" s="3">
        <v>5611</v>
      </c>
      <c r="B32" s="3" t="s">
        <v>109</v>
      </c>
      <c r="C32" s="46"/>
      <c r="D32" s="49" t="e">
        <f t="shared" si="16"/>
        <v>#DIV/0!</v>
      </c>
      <c r="E32" s="46"/>
      <c r="F32" s="49" t="e">
        <f t="shared" si="17"/>
        <v>#DIV/0!</v>
      </c>
      <c r="G32" s="46"/>
      <c r="H32" s="49" t="e">
        <f t="shared" si="18"/>
        <v>#DIV/0!</v>
      </c>
      <c r="I32" s="46"/>
      <c r="J32" s="49" t="e">
        <f t="shared" si="19"/>
        <v>#DIV/0!</v>
      </c>
      <c r="K32" s="46"/>
      <c r="L32" s="49" t="e">
        <f t="shared" si="20"/>
        <v>#DIV/0!</v>
      </c>
      <c r="M32" s="46"/>
      <c r="N32" s="49" t="e">
        <f t="shared" si="21"/>
        <v>#DIV/0!</v>
      </c>
      <c r="O32" s="46"/>
      <c r="P32" s="49" t="e">
        <f t="shared" si="22"/>
        <v>#DIV/0!</v>
      </c>
      <c r="Q32" s="46"/>
      <c r="R32" s="49" t="e">
        <f t="shared" si="29"/>
        <v>#DIV/0!</v>
      </c>
      <c r="S32" s="46"/>
      <c r="T32" s="49" t="e">
        <f t="shared" si="23"/>
        <v>#DIV/0!</v>
      </c>
      <c r="U32" s="46"/>
      <c r="V32" s="49" t="e">
        <f t="shared" si="24"/>
        <v>#DIV/0!</v>
      </c>
      <c r="W32" s="46"/>
      <c r="X32" s="49" t="e">
        <f t="shared" si="30"/>
        <v>#DIV/0!</v>
      </c>
      <c r="Y32" s="46"/>
      <c r="Z32" s="49" t="e">
        <f t="shared" si="25"/>
        <v>#DIV/0!</v>
      </c>
      <c r="AA32" s="105">
        <f t="shared" si="26"/>
        <v>0</v>
      </c>
      <c r="AB32" s="108" t="e">
        <f t="shared" si="27"/>
        <v>#DIV/0!</v>
      </c>
      <c r="AC32" s="89">
        <f t="shared" si="1"/>
        <v>0</v>
      </c>
      <c r="AD32" s="92" t="e">
        <f t="shared" si="28"/>
        <v>#DIV/0!</v>
      </c>
      <c r="AE32" s="214"/>
      <c r="AF32" s="54"/>
      <c r="AH32" s="21">
        <f t="shared" si="2"/>
        <v>0</v>
      </c>
    </row>
    <row r="33" spans="1:35" s="289" customFormat="1">
      <c r="A33" s="3">
        <v>5612</v>
      </c>
      <c r="B33" s="3" t="s">
        <v>61</v>
      </c>
      <c r="C33" s="46"/>
      <c r="D33" s="49" t="e">
        <f t="shared" si="16"/>
        <v>#DIV/0!</v>
      </c>
      <c r="E33" s="46"/>
      <c r="F33" s="49" t="e">
        <f t="shared" si="17"/>
        <v>#DIV/0!</v>
      </c>
      <c r="G33" s="46"/>
      <c r="H33" s="49" t="e">
        <f t="shared" si="18"/>
        <v>#DIV/0!</v>
      </c>
      <c r="I33" s="46"/>
      <c r="J33" s="49" t="e">
        <f t="shared" si="19"/>
        <v>#DIV/0!</v>
      </c>
      <c r="K33" s="46"/>
      <c r="L33" s="49" t="e">
        <f t="shared" si="20"/>
        <v>#DIV/0!</v>
      </c>
      <c r="M33" s="46"/>
      <c r="N33" s="49" t="e">
        <f t="shared" si="21"/>
        <v>#DIV/0!</v>
      </c>
      <c r="O33" s="46"/>
      <c r="P33" s="49" t="e">
        <f t="shared" si="22"/>
        <v>#DIV/0!</v>
      </c>
      <c r="Q33" s="46"/>
      <c r="R33" s="49" t="e">
        <f t="shared" si="29"/>
        <v>#DIV/0!</v>
      </c>
      <c r="S33" s="46"/>
      <c r="T33" s="49" t="e">
        <f t="shared" si="23"/>
        <v>#DIV/0!</v>
      </c>
      <c r="U33" s="46"/>
      <c r="V33" s="49" t="e">
        <f t="shared" si="24"/>
        <v>#DIV/0!</v>
      </c>
      <c r="W33" s="46"/>
      <c r="X33" s="49" t="e">
        <f t="shared" si="30"/>
        <v>#DIV/0!</v>
      </c>
      <c r="Y33" s="46"/>
      <c r="Z33" s="49" t="e">
        <f t="shared" si="25"/>
        <v>#DIV/0!</v>
      </c>
      <c r="AA33" s="105">
        <f t="shared" si="26"/>
        <v>0</v>
      </c>
      <c r="AB33" s="108" t="e">
        <f t="shared" si="27"/>
        <v>#DIV/0!</v>
      </c>
      <c r="AC33" s="89">
        <f t="shared" si="1"/>
        <v>0</v>
      </c>
      <c r="AD33" s="92" t="e">
        <f t="shared" si="28"/>
        <v>#DIV/0!</v>
      </c>
      <c r="AE33" s="214"/>
      <c r="AF33" s="54"/>
      <c r="AH33" s="21">
        <f t="shared" si="2"/>
        <v>0</v>
      </c>
    </row>
    <row r="34" spans="1:35" s="289" customFormat="1">
      <c r="A34" s="3">
        <v>5613</v>
      </c>
      <c r="B34" s="3" t="s">
        <v>62</v>
      </c>
      <c r="C34" s="46"/>
      <c r="D34" s="49" t="e">
        <f t="shared" si="16"/>
        <v>#DIV/0!</v>
      </c>
      <c r="E34" s="46"/>
      <c r="F34" s="49" t="e">
        <f t="shared" si="17"/>
        <v>#DIV/0!</v>
      </c>
      <c r="G34" s="46"/>
      <c r="H34" s="49" t="e">
        <f t="shared" si="18"/>
        <v>#DIV/0!</v>
      </c>
      <c r="I34" s="46"/>
      <c r="J34" s="49" t="e">
        <f t="shared" si="19"/>
        <v>#DIV/0!</v>
      </c>
      <c r="K34" s="46"/>
      <c r="L34" s="49" t="e">
        <f t="shared" si="20"/>
        <v>#DIV/0!</v>
      </c>
      <c r="M34" s="46"/>
      <c r="N34" s="49" t="e">
        <f t="shared" si="21"/>
        <v>#DIV/0!</v>
      </c>
      <c r="O34" s="46"/>
      <c r="P34" s="49" t="e">
        <f t="shared" si="22"/>
        <v>#DIV/0!</v>
      </c>
      <c r="Q34" s="46"/>
      <c r="R34" s="49" t="e">
        <f t="shared" si="29"/>
        <v>#DIV/0!</v>
      </c>
      <c r="S34" s="46"/>
      <c r="T34" s="49" t="e">
        <f t="shared" si="23"/>
        <v>#DIV/0!</v>
      </c>
      <c r="U34" s="46"/>
      <c r="V34" s="49" t="e">
        <f t="shared" si="24"/>
        <v>#DIV/0!</v>
      </c>
      <c r="W34" s="46"/>
      <c r="X34" s="49" t="e">
        <f t="shared" si="30"/>
        <v>#DIV/0!</v>
      </c>
      <c r="Y34" s="46"/>
      <c r="Z34" s="49" t="e">
        <f t="shared" si="25"/>
        <v>#DIV/0!</v>
      </c>
      <c r="AA34" s="105">
        <f t="shared" si="26"/>
        <v>0</v>
      </c>
      <c r="AB34" s="108" t="e">
        <f t="shared" si="27"/>
        <v>#DIV/0!</v>
      </c>
      <c r="AC34" s="89">
        <f t="shared" si="1"/>
        <v>0</v>
      </c>
      <c r="AD34" s="92" t="e">
        <f t="shared" si="28"/>
        <v>#DIV/0!</v>
      </c>
      <c r="AE34" s="214"/>
      <c r="AF34" s="54"/>
      <c r="AH34" s="21">
        <f t="shared" si="2"/>
        <v>0</v>
      </c>
    </row>
    <row r="35" spans="1:35" s="289" customFormat="1">
      <c r="A35" s="9">
        <v>5699</v>
      </c>
      <c r="B35" s="9" t="s">
        <v>110</v>
      </c>
      <c r="C35" s="59">
        <f>SUM(C22:C34)</f>
        <v>0</v>
      </c>
      <c r="D35" s="69" t="e">
        <f>C35/C12</f>
        <v>#DIV/0!</v>
      </c>
      <c r="E35" s="59">
        <f>SUM(E22:E34)</f>
        <v>0</v>
      </c>
      <c r="F35" s="69" t="e">
        <f t="shared" si="17"/>
        <v>#DIV/0!</v>
      </c>
      <c r="G35" s="59">
        <f>SUM(G22:G34)</f>
        <v>0</v>
      </c>
      <c r="H35" s="69" t="e">
        <f>G35/G12</f>
        <v>#DIV/0!</v>
      </c>
      <c r="I35" s="59">
        <f>SUM(I22:I34)</f>
        <v>0</v>
      </c>
      <c r="J35" s="69" t="e">
        <f>I35/I12</f>
        <v>#DIV/0!</v>
      </c>
      <c r="K35" s="59">
        <f>SUM(K22:K34)</f>
        <v>0</v>
      </c>
      <c r="L35" s="69" t="e">
        <f>K35/K12</f>
        <v>#DIV/0!</v>
      </c>
      <c r="M35" s="59">
        <f>SUM(M22:M34)</f>
        <v>0</v>
      </c>
      <c r="N35" s="69" t="e">
        <f>M35/M12</f>
        <v>#DIV/0!</v>
      </c>
      <c r="O35" s="59">
        <f>SUM(O22:O34)</f>
        <v>0</v>
      </c>
      <c r="P35" s="69" t="e">
        <f>O35/O12</f>
        <v>#DIV/0!</v>
      </c>
      <c r="Q35" s="59">
        <f>SUM(Q22:Q34)</f>
        <v>0</v>
      </c>
      <c r="R35" s="69" t="e">
        <f>Q35/Q12</f>
        <v>#DIV/0!</v>
      </c>
      <c r="S35" s="59">
        <f>SUM(S22:S34)</f>
        <v>0</v>
      </c>
      <c r="T35" s="69" t="e">
        <f>S35/S12</f>
        <v>#DIV/0!</v>
      </c>
      <c r="U35" s="59">
        <f>SUM(U22:U34)</f>
        <v>0</v>
      </c>
      <c r="V35" s="69" t="e">
        <f>U35/U12</f>
        <v>#DIV/0!</v>
      </c>
      <c r="W35" s="59">
        <f>SUM(W22:W34)</f>
        <v>0</v>
      </c>
      <c r="X35" s="69" t="e">
        <f>W35/W12</f>
        <v>#DIV/0!</v>
      </c>
      <c r="Y35" s="59">
        <f>SUM(Y22:Y34)</f>
        <v>0</v>
      </c>
      <c r="Z35" s="69" t="e">
        <f>Y35/Y12</f>
        <v>#DIV/0!</v>
      </c>
      <c r="AA35" s="114">
        <f>SUM(AA22:AA34)</f>
        <v>0</v>
      </c>
      <c r="AB35" s="115" t="e">
        <f>AA35/AA12</f>
        <v>#DIV/0!</v>
      </c>
      <c r="AC35" s="98">
        <f t="shared" si="1"/>
        <v>0</v>
      </c>
      <c r="AD35" s="99" t="e">
        <f>AC35/AC12</f>
        <v>#DIV/0!</v>
      </c>
      <c r="AE35" s="215"/>
      <c r="AF35" s="54"/>
      <c r="AH35" s="21">
        <f t="shared" si="2"/>
        <v>0</v>
      </c>
    </row>
    <row r="36" spans="1:35" s="289" customFormat="1">
      <c r="A36" s="9">
        <v>5999</v>
      </c>
      <c r="B36" s="9" t="s">
        <v>111</v>
      </c>
      <c r="C36" s="59">
        <f>C21+C35</f>
        <v>0</v>
      </c>
      <c r="D36" s="69" t="e">
        <f>C36/C12</f>
        <v>#DIV/0!</v>
      </c>
      <c r="E36" s="59">
        <f>E21+E35</f>
        <v>0</v>
      </c>
      <c r="F36" s="69" t="e">
        <f>E36/E12</f>
        <v>#DIV/0!</v>
      </c>
      <c r="G36" s="59">
        <f>G21+G35</f>
        <v>0</v>
      </c>
      <c r="H36" s="69" t="e">
        <f>G36/G12</f>
        <v>#DIV/0!</v>
      </c>
      <c r="I36" s="59">
        <f>I21+I35</f>
        <v>0</v>
      </c>
      <c r="J36" s="69" t="e">
        <f>I36/I12</f>
        <v>#DIV/0!</v>
      </c>
      <c r="K36" s="59">
        <f>K21+K35</f>
        <v>0</v>
      </c>
      <c r="L36" s="69" t="e">
        <f>K36/K12</f>
        <v>#DIV/0!</v>
      </c>
      <c r="M36" s="59">
        <f>M21+M35</f>
        <v>0</v>
      </c>
      <c r="N36" s="69" t="e">
        <f>M36/M12</f>
        <v>#DIV/0!</v>
      </c>
      <c r="O36" s="59">
        <f>O21+O35</f>
        <v>0</v>
      </c>
      <c r="P36" s="69" t="e">
        <f>O36/O12</f>
        <v>#DIV/0!</v>
      </c>
      <c r="Q36" s="59">
        <f>Q21+Q35</f>
        <v>0</v>
      </c>
      <c r="R36" s="69" t="e">
        <f>Q36/Q12</f>
        <v>#DIV/0!</v>
      </c>
      <c r="S36" s="59">
        <f>S21+S35</f>
        <v>0</v>
      </c>
      <c r="T36" s="69" t="e">
        <f>S36/S12</f>
        <v>#DIV/0!</v>
      </c>
      <c r="U36" s="59">
        <f>U21+U35</f>
        <v>0</v>
      </c>
      <c r="V36" s="69" t="e">
        <f>U36/U12</f>
        <v>#DIV/0!</v>
      </c>
      <c r="W36" s="59">
        <f>W21+W35</f>
        <v>0</v>
      </c>
      <c r="X36" s="69" t="e">
        <f>W36/W12</f>
        <v>#DIV/0!</v>
      </c>
      <c r="Y36" s="59">
        <f>Y21+Y35</f>
        <v>0</v>
      </c>
      <c r="Z36" s="69" t="e">
        <f>Y36/Y12</f>
        <v>#DIV/0!</v>
      </c>
      <c r="AA36" s="114">
        <f>AA21+AA35</f>
        <v>0</v>
      </c>
      <c r="AB36" s="115" t="e">
        <f>AA36/AA12</f>
        <v>#DIV/0!</v>
      </c>
      <c r="AC36" s="98">
        <f t="shared" si="1"/>
        <v>0</v>
      </c>
      <c r="AD36" s="99" t="e">
        <f>AC36/AC12</f>
        <v>#DIV/0!</v>
      </c>
      <c r="AE36" s="215"/>
      <c r="AF36" s="54"/>
      <c r="AH36" s="21">
        <f t="shared" si="2"/>
        <v>0</v>
      </c>
      <c r="AI36" s="289" t="e">
        <f>AI37/AB37</f>
        <v>#DIV/0!</v>
      </c>
    </row>
    <row r="37" spans="1:35" s="289" customFormat="1" ht="15.75" thickBot="1">
      <c r="A37" s="10"/>
      <c r="B37" s="10" t="s">
        <v>68</v>
      </c>
      <c r="C37" s="60">
        <f>(C16-C36)</f>
        <v>0</v>
      </c>
      <c r="D37" s="84" t="e">
        <f>C37/C12</f>
        <v>#DIV/0!</v>
      </c>
      <c r="E37" s="60">
        <f>(E16-E36)</f>
        <v>0</v>
      </c>
      <c r="F37" s="70" t="e">
        <f>E37/E12</f>
        <v>#DIV/0!</v>
      </c>
      <c r="G37" s="60">
        <f>(G16-G36)</f>
        <v>0</v>
      </c>
      <c r="H37" s="84" t="e">
        <f>G37/G12</f>
        <v>#DIV/0!</v>
      </c>
      <c r="I37" s="60">
        <f>(I16-I36)</f>
        <v>0</v>
      </c>
      <c r="J37" s="70" t="e">
        <f>I37/I12</f>
        <v>#DIV/0!</v>
      </c>
      <c r="K37" s="60">
        <f>(K16-K36)</f>
        <v>0</v>
      </c>
      <c r="L37" s="70" t="e">
        <f>K37/K12</f>
        <v>#DIV/0!</v>
      </c>
      <c r="M37" s="60">
        <f>(M16-M36)</f>
        <v>0</v>
      </c>
      <c r="N37" s="70" t="e">
        <f>M37/M12</f>
        <v>#DIV/0!</v>
      </c>
      <c r="O37" s="60">
        <f>(O16-O36)</f>
        <v>0</v>
      </c>
      <c r="P37" s="70" t="e">
        <f>O37/O12</f>
        <v>#DIV/0!</v>
      </c>
      <c r="Q37" s="60">
        <f>(Q16-Q36)</f>
        <v>0</v>
      </c>
      <c r="R37" s="84" t="e">
        <f>Q37/Q12</f>
        <v>#DIV/0!</v>
      </c>
      <c r="S37" s="60">
        <f>(S16-S36)</f>
        <v>0</v>
      </c>
      <c r="T37" s="70" t="e">
        <f>S37/S12</f>
        <v>#DIV/0!</v>
      </c>
      <c r="U37" s="60">
        <f>(U16-U36)</f>
        <v>0</v>
      </c>
      <c r="V37" s="70" t="e">
        <f>U37/U12</f>
        <v>#DIV/0!</v>
      </c>
      <c r="W37" s="60">
        <f>(W16-W36)</f>
        <v>0</v>
      </c>
      <c r="X37" s="84" t="e">
        <f>W37/W12</f>
        <v>#DIV/0!</v>
      </c>
      <c r="Y37" s="60">
        <f>(Y16-Y36)</f>
        <v>0</v>
      </c>
      <c r="Z37" s="70" t="e">
        <f>Y37/Y12</f>
        <v>#DIV/0!</v>
      </c>
      <c r="AA37" s="109">
        <f>(AA16-AA36)</f>
        <v>0</v>
      </c>
      <c r="AB37" s="110" t="e">
        <f>AA37/AA12</f>
        <v>#DIV/0!</v>
      </c>
      <c r="AC37" s="93">
        <f t="shared" si="1"/>
        <v>0</v>
      </c>
      <c r="AD37" s="94" t="e">
        <f>AC37/AC12</f>
        <v>#DIV/0!</v>
      </c>
      <c r="AE37" s="223"/>
      <c r="AF37" s="219" t="s">
        <v>153</v>
      </c>
      <c r="AG37" s="209" t="s">
        <v>154</v>
      </c>
      <c r="AH37" s="21">
        <f t="shared" si="2"/>
        <v>0</v>
      </c>
      <c r="AI37" s="289">
        <v>-294770.21218532696</v>
      </c>
    </row>
    <row r="38" spans="1:35" s="289" customFormat="1" ht="15.75" thickTop="1">
      <c r="A38" s="2">
        <v>6002</v>
      </c>
      <c r="B38" s="2" t="s">
        <v>45</v>
      </c>
      <c r="C38" s="46"/>
      <c r="D38" s="49" t="e">
        <f t="shared" ref="D38:D50" si="31">C38/C$12</f>
        <v>#DIV/0!</v>
      </c>
      <c r="E38" s="46"/>
      <c r="F38" s="49" t="e">
        <f t="shared" ref="F38:F50" si="32">E38/E$12</f>
        <v>#DIV/0!</v>
      </c>
      <c r="G38" s="46"/>
      <c r="H38" s="49" t="e">
        <f t="shared" ref="H38:H50" si="33">G38/G$12</f>
        <v>#DIV/0!</v>
      </c>
      <c r="I38" s="46"/>
      <c r="J38" s="49" t="e">
        <f t="shared" ref="J38:J50" si="34">I38/I$12</f>
        <v>#DIV/0!</v>
      </c>
      <c r="K38" s="46"/>
      <c r="L38" s="49" t="e">
        <f t="shared" ref="L38:L50" si="35">K38/K$12</f>
        <v>#DIV/0!</v>
      </c>
      <c r="M38" s="46"/>
      <c r="N38" s="49" t="e">
        <f t="shared" ref="N38:N50" si="36">M38/M$12</f>
        <v>#DIV/0!</v>
      </c>
      <c r="O38" s="46"/>
      <c r="P38" s="49" t="e">
        <f>O38/O12</f>
        <v>#DIV/0!</v>
      </c>
      <c r="Q38" s="46"/>
      <c r="R38" s="49" t="e">
        <f t="shared" ref="R38:R50" si="37">Q38/Q$12</f>
        <v>#DIV/0!</v>
      </c>
      <c r="S38" s="46"/>
      <c r="T38" s="49" t="e">
        <f t="shared" ref="T38:T50" si="38">S38/S$12</f>
        <v>#DIV/0!</v>
      </c>
      <c r="U38" s="46"/>
      <c r="V38" s="49" t="e">
        <f>U38/U12</f>
        <v>#DIV/0!</v>
      </c>
      <c r="W38" s="46"/>
      <c r="X38" s="49" t="e">
        <f t="shared" ref="X38:X50" si="39">W38/W$12</f>
        <v>#DIV/0!</v>
      </c>
      <c r="Y38" s="46"/>
      <c r="Z38" s="49" t="e">
        <f t="shared" ref="Z38:Z50" si="40">Y38/Y$12</f>
        <v>#DIV/0!</v>
      </c>
      <c r="AA38" s="105">
        <f>C38+E38+G38+I38+K38+M38+O38+Q38+S38+U38+W38+Y38</f>
        <v>0</v>
      </c>
      <c r="AB38" s="108" t="e">
        <f t="shared" ref="AB38:AB93" si="41">AA38/AA$12</f>
        <v>#DIV/0!</v>
      </c>
      <c r="AC38" s="89">
        <f t="shared" si="1"/>
        <v>0</v>
      </c>
      <c r="AD38" s="92" t="e">
        <f t="shared" ref="AD38:AD93" si="42">AC38/AC$12</f>
        <v>#DIV/0!</v>
      </c>
      <c r="AE38" s="214"/>
      <c r="AF38" s="54"/>
      <c r="AH38" s="21">
        <f t="shared" si="2"/>
        <v>0</v>
      </c>
    </row>
    <row r="39" spans="1:35" s="289" customFormat="1">
      <c r="A39" s="2">
        <v>6003</v>
      </c>
      <c r="B39" s="2" t="s">
        <v>0</v>
      </c>
      <c r="C39" s="46"/>
      <c r="D39" s="49" t="e">
        <f t="shared" si="31"/>
        <v>#DIV/0!</v>
      </c>
      <c r="E39" s="46"/>
      <c r="F39" s="49" t="e">
        <f t="shared" si="32"/>
        <v>#DIV/0!</v>
      </c>
      <c r="G39" s="46"/>
      <c r="H39" s="49" t="e">
        <f t="shared" si="33"/>
        <v>#DIV/0!</v>
      </c>
      <c r="I39" s="46"/>
      <c r="J39" s="49" t="e">
        <f t="shared" si="34"/>
        <v>#DIV/0!</v>
      </c>
      <c r="K39" s="46"/>
      <c r="L39" s="49" t="e">
        <f t="shared" si="35"/>
        <v>#DIV/0!</v>
      </c>
      <c r="M39" s="46"/>
      <c r="N39" s="49" t="e">
        <f t="shared" si="36"/>
        <v>#DIV/0!</v>
      </c>
      <c r="O39" s="46"/>
      <c r="P39" s="49" t="e">
        <f t="shared" ref="P39" si="43">O39/O12</f>
        <v>#DIV/0!</v>
      </c>
      <c r="Q39" s="46"/>
      <c r="R39" s="49" t="e">
        <f t="shared" si="37"/>
        <v>#DIV/0!</v>
      </c>
      <c r="S39" s="46"/>
      <c r="T39" s="49" t="e">
        <f t="shared" si="38"/>
        <v>#DIV/0!</v>
      </c>
      <c r="U39" s="46"/>
      <c r="V39" s="49" t="e">
        <f t="shared" ref="V39" si="44">U39/U12</f>
        <v>#DIV/0!</v>
      </c>
      <c r="W39" s="46"/>
      <c r="X39" s="49" t="e">
        <f t="shared" si="39"/>
        <v>#DIV/0!</v>
      </c>
      <c r="Y39" s="46"/>
      <c r="Z39" s="49" t="e">
        <f t="shared" si="40"/>
        <v>#DIV/0!</v>
      </c>
      <c r="AA39" s="105">
        <f>C39+E39+G39+I39+K39+M39+O39+Q39+S39+U39+W39+Y39</f>
        <v>0</v>
      </c>
      <c r="AB39" s="108" t="e">
        <f t="shared" si="41"/>
        <v>#DIV/0!</v>
      </c>
      <c r="AC39" s="89">
        <f t="shared" si="1"/>
        <v>0</v>
      </c>
      <c r="AD39" s="92" t="e">
        <f t="shared" si="42"/>
        <v>#DIV/0!</v>
      </c>
      <c r="AE39" s="214"/>
      <c r="AF39" s="54"/>
      <c r="AH39" s="21">
        <f t="shared" si="2"/>
        <v>0</v>
      </c>
    </row>
    <row r="40" spans="1:35" s="289" customFormat="1">
      <c r="A40" s="2">
        <v>6004</v>
      </c>
      <c r="B40" s="2" t="s">
        <v>1</v>
      </c>
      <c r="C40" s="46"/>
      <c r="D40" s="49" t="e">
        <f t="shared" si="31"/>
        <v>#DIV/0!</v>
      </c>
      <c r="E40" s="46"/>
      <c r="F40" s="49" t="e">
        <f t="shared" si="32"/>
        <v>#DIV/0!</v>
      </c>
      <c r="G40" s="46"/>
      <c r="H40" s="49" t="e">
        <f t="shared" si="33"/>
        <v>#DIV/0!</v>
      </c>
      <c r="I40" s="46"/>
      <c r="J40" s="49" t="e">
        <f t="shared" si="34"/>
        <v>#DIV/0!</v>
      </c>
      <c r="K40" s="46"/>
      <c r="L40" s="49" t="e">
        <f t="shared" si="35"/>
        <v>#DIV/0!</v>
      </c>
      <c r="M40" s="46"/>
      <c r="N40" s="49" t="e">
        <f t="shared" si="36"/>
        <v>#DIV/0!</v>
      </c>
      <c r="O40" s="46"/>
      <c r="P40" s="49" t="e">
        <f>O40/O16</f>
        <v>#DIV/0!</v>
      </c>
      <c r="Q40" s="46"/>
      <c r="R40" s="49" t="e">
        <f t="shared" si="37"/>
        <v>#DIV/0!</v>
      </c>
      <c r="S40" s="46"/>
      <c r="T40" s="49" t="e">
        <f t="shared" si="38"/>
        <v>#DIV/0!</v>
      </c>
      <c r="U40" s="46"/>
      <c r="V40" s="49" t="e">
        <f>U40/U16</f>
        <v>#DIV/0!</v>
      </c>
      <c r="W40" s="46"/>
      <c r="X40" s="49" t="e">
        <f t="shared" si="39"/>
        <v>#DIV/0!</v>
      </c>
      <c r="Y40" s="46"/>
      <c r="Z40" s="49" t="e">
        <f t="shared" si="40"/>
        <v>#DIV/0!</v>
      </c>
      <c r="AA40" s="105">
        <f>C40+E40+G40+I40+K40+M40+O40+Q40+S40+U40+W40+Y40</f>
        <v>0</v>
      </c>
      <c r="AB40" s="108" t="e">
        <f t="shared" si="41"/>
        <v>#DIV/0!</v>
      </c>
      <c r="AC40" s="89">
        <f t="shared" si="1"/>
        <v>0</v>
      </c>
      <c r="AD40" s="92" t="e">
        <f t="shared" si="42"/>
        <v>#DIV/0!</v>
      </c>
      <c r="AE40" s="214"/>
      <c r="AF40" s="54"/>
      <c r="AH40" s="21">
        <f t="shared" si="2"/>
        <v>0</v>
      </c>
    </row>
    <row r="41" spans="1:35" s="289" customFormat="1" ht="15.75" thickBot="1">
      <c r="A41" s="53">
        <v>6099</v>
      </c>
      <c r="B41" s="53" t="s">
        <v>112</v>
      </c>
      <c r="C41" s="174">
        <f>SUM(C38:C40)</f>
        <v>0</v>
      </c>
      <c r="D41" s="83" t="e">
        <f t="shared" si="31"/>
        <v>#DIV/0!</v>
      </c>
      <c r="E41" s="174">
        <f>SUM(E38:E40)</f>
        <v>0</v>
      </c>
      <c r="F41" s="83" t="e">
        <f t="shared" si="32"/>
        <v>#DIV/0!</v>
      </c>
      <c r="G41" s="174">
        <f>SUM(G38:G40)</f>
        <v>0</v>
      </c>
      <c r="H41" s="83" t="e">
        <f t="shared" si="33"/>
        <v>#DIV/0!</v>
      </c>
      <c r="I41" s="174">
        <f>SUM(I38:I40)</f>
        <v>0</v>
      </c>
      <c r="J41" s="83" t="e">
        <f t="shared" si="34"/>
        <v>#DIV/0!</v>
      </c>
      <c r="K41" s="174">
        <f>SUM(K38:K40)</f>
        <v>0</v>
      </c>
      <c r="L41" s="83" t="e">
        <f t="shared" si="35"/>
        <v>#DIV/0!</v>
      </c>
      <c r="M41" s="174">
        <f>SUM(M38:M40)</f>
        <v>0</v>
      </c>
      <c r="N41" s="83" t="e">
        <f t="shared" si="36"/>
        <v>#DIV/0!</v>
      </c>
      <c r="O41" s="174">
        <f>SUM(O38:O40)</f>
        <v>0</v>
      </c>
      <c r="P41" s="83" t="e">
        <f t="shared" ref="P41:P50" si="45">O41/O$12</f>
        <v>#DIV/0!</v>
      </c>
      <c r="Q41" s="174">
        <f>SUM(Q38:Q40)</f>
        <v>0</v>
      </c>
      <c r="R41" s="83" t="e">
        <f t="shared" si="37"/>
        <v>#DIV/0!</v>
      </c>
      <c r="S41" s="174">
        <f>SUM(S38:S40)</f>
        <v>0</v>
      </c>
      <c r="T41" s="83" t="e">
        <f t="shared" si="38"/>
        <v>#DIV/0!</v>
      </c>
      <c r="U41" s="174">
        <f>SUM(U38:U40)</f>
        <v>0</v>
      </c>
      <c r="V41" s="83" t="e">
        <f t="shared" ref="V41:V50" si="46">U41/U$12</f>
        <v>#DIV/0!</v>
      </c>
      <c r="W41" s="174">
        <f>SUM(W38:W40)</f>
        <v>0</v>
      </c>
      <c r="X41" s="83" t="e">
        <f t="shared" si="39"/>
        <v>#DIV/0!</v>
      </c>
      <c r="Y41" s="174">
        <f>SUM(Y38:Y40)</f>
        <v>0</v>
      </c>
      <c r="Z41" s="83" t="e">
        <f t="shared" si="40"/>
        <v>#DIV/0!</v>
      </c>
      <c r="AA41" s="109">
        <f>SUM(AA38:AA40)</f>
        <v>0</v>
      </c>
      <c r="AB41" s="163" t="e">
        <f t="shared" si="41"/>
        <v>#DIV/0!</v>
      </c>
      <c r="AC41" s="93">
        <f t="shared" si="1"/>
        <v>0</v>
      </c>
      <c r="AD41" s="163" t="e">
        <f t="shared" si="42"/>
        <v>#DIV/0!</v>
      </c>
      <c r="AE41" s="227"/>
      <c r="AF41" s="219"/>
      <c r="AG41" s="209"/>
      <c r="AH41" s="21">
        <f t="shared" si="2"/>
        <v>0</v>
      </c>
    </row>
    <row r="42" spans="1:35" s="289" customFormat="1" ht="15.75" thickTop="1">
      <c r="A42" s="128">
        <v>6101</v>
      </c>
      <c r="B42" s="2" t="s">
        <v>2</v>
      </c>
      <c r="C42" s="46"/>
      <c r="D42" s="49" t="e">
        <f t="shared" si="31"/>
        <v>#DIV/0!</v>
      </c>
      <c r="E42" s="46"/>
      <c r="F42" s="49" t="e">
        <f t="shared" si="32"/>
        <v>#DIV/0!</v>
      </c>
      <c r="G42" s="46"/>
      <c r="H42" s="49" t="e">
        <f t="shared" si="33"/>
        <v>#DIV/0!</v>
      </c>
      <c r="I42" s="46"/>
      <c r="J42" s="49" t="e">
        <f t="shared" si="34"/>
        <v>#DIV/0!</v>
      </c>
      <c r="K42" s="46"/>
      <c r="L42" s="49" t="e">
        <f t="shared" si="35"/>
        <v>#DIV/0!</v>
      </c>
      <c r="M42" s="46"/>
      <c r="N42" s="49" t="e">
        <f t="shared" si="36"/>
        <v>#DIV/0!</v>
      </c>
      <c r="O42" s="46"/>
      <c r="P42" s="49" t="e">
        <f t="shared" si="45"/>
        <v>#DIV/0!</v>
      </c>
      <c r="Q42" s="46"/>
      <c r="R42" s="49" t="e">
        <f t="shared" si="37"/>
        <v>#DIV/0!</v>
      </c>
      <c r="S42" s="46"/>
      <c r="T42" s="49" t="e">
        <f t="shared" si="38"/>
        <v>#DIV/0!</v>
      </c>
      <c r="U42" s="46"/>
      <c r="V42" s="49" t="e">
        <f t="shared" si="46"/>
        <v>#DIV/0!</v>
      </c>
      <c r="W42" s="46"/>
      <c r="X42" s="49" t="e">
        <f t="shared" si="39"/>
        <v>#DIV/0!</v>
      </c>
      <c r="Y42" s="46"/>
      <c r="Z42" s="49" t="e">
        <f t="shared" si="40"/>
        <v>#DIV/0!</v>
      </c>
      <c r="AA42" s="105">
        <f t="shared" ref="AA42:AA75" si="47">C42+E42+G42+I42+K42+M42+O42+Q42+S42+U42+W42+Y42</f>
        <v>0</v>
      </c>
      <c r="AB42" s="108" t="e">
        <f t="shared" si="41"/>
        <v>#DIV/0!</v>
      </c>
      <c r="AC42" s="89">
        <f t="shared" si="1"/>
        <v>0</v>
      </c>
      <c r="AD42" s="92" t="e">
        <f t="shared" si="42"/>
        <v>#DIV/0!</v>
      </c>
      <c r="AE42" s="214" t="s">
        <v>238</v>
      </c>
      <c r="AF42" s="54"/>
      <c r="AH42" s="21">
        <f t="shared" si="2"/>
        <v>0</v>
      </c>
    </row>
    <row r="43" spans="1:35" s="289" customFormat="1">
      <c r="A43" s="128">
        <v>6102</v>
      </c>
      <c r="B43" s="2" t="s">
        <v>3</v>
      </c>
      <c r="C43" s="55"/>
      <c r="D43" s="49" t="e">
        <f t="shared" si="31"/>
        <v>#DIV/0!</v>
      </c>
      <c r="E43" s="55"/>
      <c r="F43" s="49" t="e">
        <f t="shared" si="32"/>
        <v>#DIV/0!</v>
      </c>
      <c r="G43" s="55"/>
      <c r="H43" s="49" t="e">
        <f t="shared" si="33"/>
        <v>#DIV/0!</v>
      </c>
      <c r="I43" s="55"/>
      <c r="J43" s="49" t="e">
        <f t="shared" si="34"/>
        <v>#DIV/0!</v>
      </c>
      <c r="K43" s="55"/>
      <c r="L43" s="49" t="e">
        <f t="shared" si="35"/>
        <v>#DIV/0!</v>
      </c>
      <c r="M43" s="55"/>
      <c r="N43" s="49" t="e">
        <f t="shared" si="36"/>
        <v>#DIV/0!</v>
      </c>
      <c r="O43" s="55"/>
      <c r="P43" s="49" t="e">
        <f t="shared" si="45"/>
        <v>#DIV/0!</v>
      </c>
      <c r="Q43" s="55"/>
      <c r="R43" s="49" t="e">
        <f t="shared" si="37"/>
        <v>#DIV/0!</v>
      </c>
      <c r="S43" s="55"/>
      <c r="T43" s="49" t="e">
        <f t="shared" si="38"/>
        <v>#DIV/0!</v>
      </c>
      <c r="U43" s="55"/>
      <c r="V43" s="49" t="e">
        <f t="shared" si="46"/>
        <v>#DIV/0!</v>
      </c>
      <c r="W43" s="55"/>
      <c r="X43" s="49" t="e">
        <f t="shared" si="39"/>
        <v>#DIV/0!</v>
      </c>
      <c r="Y43" s="55"/>
      <c r="Z43" s="49" t="e">
        <f t="shared" si="40"/>
        <v>#DIV/0!</v>
      </c>
      <c r="AA43" s="105">
        <f t="shared" si="47"/>
        <v>0</v>
      </c>
      <c r="AB43" s="108" t="e">
        <f t="shared" si="41"/>
        <v>#DIV/0!</v>
      </c>
      <c r="AC43" s="89">
        <f t="shared" si="1"/>
        <v>0</v>
      </c>
      <c r="AD43" s="92" t="e">
        <f t="shared" si="42"/>
        <v>#DIV/0!</v>
      </c>
      <c r="AE43" s="214"/>
      <c r="AF43" s="54"/>
      <c r="AH43" s="21">
        <f t="shared" si="2"/>
        <v>0</v>
      </c>
    </row>
    <row r="44" spans="1:35" s="289" customFormat="1">
      <c r="A44" s="128">
        <v>6103</v>
      </c>
      <c r="B44" s="2" t="s">
        <v>4</v>
      </c>
      <c r="C44" s="46"/>
      <c r="D44" s="49" t="e">
        <f t="shared" si="31"/>
        <v>#DIV/0!</v>
      </c>
      <c r="E44" s="46"/>
      <c r="F44" s="49" t="e">
        <f t="shared" si="32"/>
        <v>#DIV/0!</v>
      </c>
      <c r="G44" s="46"/>
      <c r="H44" s="49" t="e">
        <f t="shared" si="33"/>
        <v>#DIV/0!</v>
      </c>
      <c r="I44" s="46"/>
      <c r="J44" s="49" t="e">
        <f t="shared" si="34"/>
        <v>#DIV/0!</v>
      </c>
      <c r="K44" s="46"/>
      <c r="L44" s="49" t="e">
        <f t="shared" si="35"/>
        <v>#DIV/0!</v>
      </c>
      <c r="M44" s="46"/>
      <c r="N44" s="49" t="e">
        <f t="shared" si="36"/>
        <v>#DIV/0!</v>
      </c>
      <c r="O44" s="46"/>
      <c r="P44" s="49" t="e">
        <f t="shared" si="45"/>
        <v>#DIV/0!</v>
      </c>
      <c r="Q44" s="46"/>
      <c r="R44" s="49" t="e">
        <f t="shared" si="37"/>
        <v>#DIV/0!</v>
      </c>
      <c r="S44" s="46"/>
      <c r="T44" s="49" t="e">
        <f t="shared" si="38"/>
        <v>#DIV/0!</v>
      </c>
      <c r="U44" s="46"/>
      <c r="V44" s="49" t="e">
        <f t="shared" si="46"/>
        <v>#DIV/0!</v>
      </c>
      <c r="W44" s="46"/>
      <c r="X44" s="49" t="e">
        <f t="shared" si="39"/>
        <v>#DIV/0!</v>
      </c>
      <c r="Y44" s="46"/>
      <c r="Z44" s="49" t="e">
        <f t="shared" si="40"/>
        <v>#DIV/0!</v>
      </c>
      <c r="AA44" s="105">
        <f t="shared" si="47"/>
        <v>0</v>
      </c>
      <c r="AB44" s="108" t="e">
        <f t="shared" si="41"/>
        <v>#DIV/0!</v>
      </c>
      <c r="AC44" s="266">
        <f t="shared" si="1"/>
        <v>0</v>
      </c>
      <c r="AD44" s="92" t="e">
        <f t="shared" si="42"/>
        <v>#DIV/0!</v>
      </c>
      <c r="AE44" s="214"/>
      <c r="AF44" s="54"/>
      <c r="AH44" s="21">
        <f t="shared" si="2"/>
        <v>0</v>
      </c>
    </row>
    <row r="45" spans="1:35" s="289" customFormat="1" ht="15.75">
      <c r="A45" s="128">
        <v>6104</v>
      </c>
      <c r="B45" s="230" t="s">
        <v>5</v>
      </c>
      <c r="C45" s="293"/>
      <c r="D45" s="49" t="e">
        <f t="shared" si="31"/>
        <v>#DIV/0!</v>
      </c>
      <c r="E45" s="293"/>
      <c r="F45" s="49" t="e">
        <f t="shared" si="32"/>
        <v>#DIV/0!</v>
      </c>
      <c r="G45" s="293"/>
      <c r="H45" s="49" t="e">
        <f t="shared" si="33"/>
        <v>#DIV/0!</v>
      </c>
      <c r="I45" s="293"/>
      <c r="J45" s="49" t="e">
        <f t="shared" si="34"/>
        <v>#DIV/0!</v>
      </c>
      <c r="K45" s="293"/>
      <c r="L45" s="49" t="e">
        <f t="shared" si="35"/>
        <v>#DIV/0!</v>
      </c>
      <c r="M45" s="293"/>
      <c r="N45" s="49" t="e">
        <f t="shared" si="36"/>
        <v>#DIV/0!</v>
      </c>
      <c r="O45" s="293"/>
      <c r="P45" s="49" t="e">
        <f t="shared" si="45"/>
        <v>#DIV/0!</v>
      </c>
      <c r="Q45" s="293"/>
      <c r="R45" s="49" t="e">
        <f t="shared" si="37"/>
        <v>#DIV/0!</v>
      </c>
      <c r="S45" s="293"/>
      <c r="T45" s="49" t="e">
        <f t="shared" si="38"/>
        <v>#DIV/0!</v>
      </c>
      <c r="U45" s="293"/>
      <c r="V45" s="49" t="e">
        <f t="shared" si="46"/>
        <v>#DIV/0!</v>
      </c>
      <c r="W45" s="293"/>
      <c r="X45" s="49" t="e">
        <f t="shared" si="39"/>
        <v>#DIV/0!</v>
      </c>
      <c r="Y45" s="293"/>
      <c r="Z45" s="49" t="e">
        <f t="shared" si="40"/>
        <v>#DIV/0!</v>
      </c>
      <c r="AA45" s="105">
        <f t="shared" si="47"/>
        <v>0</v>
      </c>
      <c r="AB45" s="108" t="e">
        <f t="shared" si="41"/>
        <v>#DIV/0!</v>
      </c>
      <c r="AC45" s="89">
        <f t="shared" si="1"/>
        <v>0</v>
      </c>
      <c r="AD45" s="92" t="e">
        <f t="shared" si="42"/>
        <v>#DIV/0!</v>
      </c>
      <c r="AE45" s="214"/>
      <c r="AF45" s="54"/>
      <c r="AG45" s="5"/>
      <c r="AH45" s="21">
        <f t="shared" si="2"/>
        <v>0</v>
      </c>
    </row>
    <row r="46" spans="1:35" s="289" customFormat="1">
      <c r="A46" s="128">
        <v>6105</v>
      </c>
      <c r="B46" s="2" t="s">
        <v>39</v>
      </c>
      <c r="C46" s="55"/>
      <c r="D46" s="49" t="e">
        <f t="shared" si="31"/>
        <v>#DIV/0!</v>
      </c>
      <c r="E46" s="55"/>
      <c r="F46" s="49" t="e">
        <f t="shared" si="32"/>
        <v>#DIV/0!</v>
      </c>
      <c r="G46" s="55"/>
      <c r="H46" s="49" t="e">
        <f t="shared" si="33"/>
        <v>#DIV/0!</v>
      </c>
      <c r="I46" s="55"/>
      <c r="J46" s="49" t="e">
        <f t="shared" si="34"/>
        <v>#DIV/0!</v>
      </c>
      <c r="K46" s="55"/>
      <c r="L46" s="49" t="e">
        <f t="shared" si="35"/>
        <v>#DIV/0!</v>
      </c>
      <c r="M46" s="55"/>
      <c r="N46" s="49" t="e">
        <f t="shared" si="36"/>
        <v>#DIV/0!</v>
      </c>
      <c r="O46" s="55"/>
      <c r="P46" s="49" t="e">
        <f t="shared" si="45"/>
        <v>#DIV/0!</v>
      </c>
      <c r="Q46" s="55"/>
      <c r="R46" s="49" t="e">
        <f t="shared" si="37"/>
        <v>#DIV/0!</v>
      </c>
      <c r="S46" s="55"/>
      <c r="T46" s="49" t="e">
        <f t="shared" si="38"/>
        <v>#DIV/0!</v>
      </c>
      <c r="U46" s="55"/>
      <c r="V46" s="49" t="e">
        <f t="shared" si="46"/>
        <v>#DIV/0!</v>
      </c>
      <c r="W46" s="55"/>
      <c r="X46" s="49" t="e">
        <f t="shared" si="39"/>
        <v>#DIV/0!</v>
      </c>
      <c r="Y46" s="55"/>
      <c r="Z46" s="49" t="e">
        <f t="shared" si="40"/>
        <v>#DIV/0!</v>
      </c>
      <c r="AA46" s="105">
        <f t="shared" si="47"/>
        <v>0</v>
      </c>
      <c r="AB46" s="108" t="e">
        <f t="shared" si="41"/>
        <v>#DIV/0!</v>
      </c>
      <c r="AC46" s="89">
        <f t="shared" si="1"/>
        <v>0</v>
      </c>
      <c r="AD46" s="92" t="e">
        <f t="shared" si="42"/>
        <v>#DIV/0!</v>
      </c>
      <c r="AE46" s="214"/>
      <c r="AF46" s="54"/>
      <c r="AG46" s="5"/>
      <c r="AH46" s="21">
        <f t="shared" si="2"/>
        <v>0</v>
      </c>
    </row>
    <row r="47" spans="1:35" s="289" customFormat="1">
      <c r="A47" s="128">
        <v>6106</v>
      </c>
      <c r="B47" s="2" t="s">
        <v>6</v>
      </c>
      <c r="C47" s="55"/>
      <c r="D47" s="49" t="e">
        <f t="shared" si="31"/>
        <v>#DIV/0!</v>
      </c>
      <c r="E47" s="55"/>
      <c r="F47" s="49" t="e">
        <f t="shared" si="32"/>
        <v>#DIV/0!</v>
      </c>
      <c r="G47" s="55"/>
      <c r="H47" s="49" t="e">
        <f t="shared" si="33"/>
        <v>#DIV/0!</v>
      </c>
      <c r="I47" s="55"/>
      <c r="J47" s="49" t="e">
        <f t="shared" si="34"/>
        <v>#DIV/0!</v>
      </c>
      <c r="K47" s="55"/>
      <c r="L47" s="49" t="e">
        <f t="shared" si="35"/>
        <v>#DIV/0!</v>
      </c>
      <c r="M47" s="55"/>
      <c r="N47" s="49" t="e">
        <f t="shared" si="36"/>
        <v>#DIV/0!</v>
      </c>
      <c r="O47" s="55"/>
      <c r="P47" s="49" t="e">
        <f t="shared" si="45"/>
        <v>#DIV/0!</v>
      </c>
      <c r="Q47" s="55"/>
      <c r="R47" s="49" t="e">
        <f t="shared" si="37"/>
        <v>#DIV/0!</v>
      </c>
      <c r="S47" s="55"/>
      <c r="T47" s="49" t="e">
        <f t="shared" si="38"/>
        <v>#DIV/0!</v>
      </c>
      <c r="U47" s="55"/>
      <c r="V47" s="49" t="e">
        <f t="shared" si="46"/>
        <v>#DIV/0!</v>
      </c>
      <c r="W47" s="55"/>
      <c r="X47" s="49" t="e">
        <f t="shared" si="39"/>
        <v>#DIV/0!</v>
      </c>
      <c r="Y47" s="55"/>
      <c r="Z47" s="49" t="e">
        <f t="shared" si="40"/>
        <v>#DIV/0!</v>
      </c>
      <c r="AA47" s="105">
        <f t="shared" si="47"/>
        <v>0</v>
      </c>
      <c r="AB47" s="108" t="e">
        <f t="shared" si="41"/>
        <v>#DIV/0!</v>
      </c>
      <c r="AC47" s="89">
        <f t="shared" si="1"/>
        <v>0</v>
      </c>
      <c r="AD47" s="92" t="e">
        <f t="shared" si="42"/>
        <v>#DIV/0!</v>
      </c>
      <c r="AE47" s="214"/>
      <c r="AF47" s="54"/>
      <c r="AH47" s="21">
        <f t="shared" si="2"/>
        <v>0</v>
      </c>
    </row>
    <row r="48" spans="1:35" s="289" customFormat="1">
      <c r="A48" s="128">
        <v>6107</v>
      </c>
      <c r="B48" s="2" t="s">
        <v>7</v>
      </c>
      <c r="C48" s="55"/>
      <c r="D48" s="49" t="e">
        <f t="shared" si="31"/>
        <v>#DIV/0!</v>
      </c>
      <c r="E48" s="55"/>
      <c r="F48" s="49" t="e">
        <f t="shared" si="32"/>
        <v>#DIV/0!</v>
      </c>
      <c r="G48" s="55"/>
      <c r="H48" s="49" t="e">
        <f t="shared" si="33"/>
        <v>#DIV/0!</v>
      </c>
      <c r="I48" s="55"/>
      <c r="J48" s="49" t="e">
        <f t="shared" si="34"/>
        <v>#DIV/0!</v>
      </c>
      <c r="K48" s="55"/>
      <c r="L48" s="49" t="e">
        <f t="shared" si="35"/>
        <v>#DIV/0!</v>
      </c>
      <c r="M48" s="55"/>
      <c r="N48" s="49" t="e">
        <f t="shared" si="36"/>
        <v>#DIV/0!</v>
      </c>
      <c r="O48" s="55"/>
      <c r="P48" s="49" t="e">
        <f t="shared" si="45"/>
        <v>#DIV/0!</v>
      </c>
      <c r="Q48" s="55"/>
      <c r="R48" s="49" t="e">
        <f t="shared" si="37"/>
        <v>#DIV/0!</v>
      </c>
      <c r="S48" s="55"/>
      <c r="T48" s="49" t="e">
        <f t="shared" si="38"/>
        <v>#DIV/0!</v>
      </c>
      <c r="U48" s="55"/>
      <c r="V48" s="49" t="e">
        <f t="shared" si="46"/>
        <v>#DIV/0!</v>
      </c>
      <c r="W48" s="55"/>
      <c r="X48" s="49" t="e">
        <f t="shared" si="39"/>
        <v>#DIV/0!</v>
      </c>
      <c r="Y48" s="55"/>
      <c r="Z48" s="49" t="e">
        <f t="shared" si="40"/>
        <v>#DIV/0!</v>
      </c>
      <c r="AA48" s="105">
        <f t="shared" si="47"/>
        <v>0</v>
      </c>
      <c r="AB48" s="108" t="e">
        <f t="shared" si="41"/>
        <v>#DIV/0!</v>
      </c>
      <c r="AC48" s="89">
        <f t="shared" si="1"/>
        <v>0</v>
      </c>
      <c r="AD48" s="92" t="e">
        <f t="shared" si="42"/>
        <v>#DIV/0!</v>
      </c>
      <c r="AE48" s="214"/>
      <c r="AF48" s="54"/>
      <c r="AH48" s="21">
        <f t="shared" si="2"/>
        <v>0</v>
      </c>
    </row>
    <row r="49" spans="1:34" s="289" customFormat="1">
      <c r="A49" s="128">
        <v>6108</v>
      </c>
      <c r="B49" s="128" t="s">
        <v>8</v>
      </c>
      <c r="C49" s="55"/>
      <c r="D49" s="49" t="e">
        <f t="shared" si="31"/>
        <v>#DIV/0!</v>
      </c>
      <c r="E49" s="55"/>
      <c r="F49" s="49" t="e">
        <f t="shared" si="32"/>
        <v>#DIV/0!</v>
      </c>
      <c r="G49" s="55"/>
      <c r="H49" s="49" t="e">
        <f t="shared" si="33"/>
        <v>#DIV/0!</v>
      </c>
      <c r="I49" s="55"/>
      <c r="J49" s="49" t="e">
        <f t="shared" si="34"/>
        <v>#DIV/0!</v>
      </c>
      <c r="K49" s="55"/>
      <c r="L49" s="49" t="e">
        <f t="shared" si="35"/>
        <v>#DIV/0!</v>
      </c>
      <c r="M49" s="55"/>
      <c r="N49" s="49" t="e">
        <f t="shared" si="36"/>
        <v>#DIV/0!</v>
      </c>
      <c r="O49" s="55"/>
      <c r="P49" s="49" t="e">
        <f t="shared" si="45"/>
        <v>#DIV/0!</v>
      </c>
      <c r="Q49" s="55"/>
      <c r="R49" s="49" t="e">
        <f t="shared" si="37"/>
        <v>#DIV/0!</v>
      </c>
      <c r="S49" s="55"/>
      <c r="T49" s="49" t="e">
        <f t="shared" si="38"/>
        <v>#DIV/0!</v>
      </c>
      <c r="U49" s="55"/>
      <c r="V49" s="49" t="e">
        <f t="shared" si="46"/>
        <v>#DIV/0!</v>
      </c>
      <c r="W49" s="55"/>
      <c r="X49" s="49" t="e">
        <f t="shared" si="39"/>
        <v>#DIV/0!</v>
      </c>
      <c r="Y49" s="55"/>
      <c r="Z49" s="49" t="e">
        <f t="shared" si="40"/>
        <v>#DIV/0!</v>
      </c>
      <c r="AA49" s="105">
        <f t="shared" si="47"/>
        <v>0</v>
      </c>
      <c r="AB49" s="108" t="e">
        <f t="shared" si="41"/>
        <v>#DIV/0!</v>
      </c>
      <c r="AC49" s="89">
        <f t="shared" si="1"/>
        <v>0</v>
      </c>
      <c r="AD49" s="92" t="e">
        <f t="shared" si="42"/>
        <v>#DIV/0!</v>
      </c>
      <c r="AE49" s="214"/>
      <c r="AF49" s="54"/>
      <c r="AH49" s="21">
        <f t="shared" si="2"/>
        <v>0</v>
      </c>
    </row>
    <row r="50" spans="1:34" s="289" customFormat="1">
      <c r="A50" s="128">
        <v>6109</v>
      </c>
      <c r="B50" s="128" t="s">
        <v>79</v>
      </c>
      <c r="C50" s="55"/>
      <c r="D50" s="49" t="e">
        <f t="shared" si="31"/>
        <v>#DIV/0!</v>
      </c>
      <c r="E50" s="55"/>
      <c r="F50" s="49" t="e">
        <f t="shared" si="32"/>
        <v>#DIV/0!</v>
      </c>
      <c r="G50" s="55"/>
      <c r="H50" s="49" t="e">
        <f t="shared" si="33"/>
        <v>#DIV/0!</v>
      </c>
      <c r="I50" s="55"/>
      <c r="J50" s="49" t="e">
        <f t="shared" si="34"/>
        <v>#DIV/0!</v>
      </c>
      <c r="K50" s="55"/>
      <c r="L50" s="49" t="e">
        <f t="shared" si="35"/>
        <v>#DIV/0!</v>
      </c>
      <c r="M50" s="55"/>
      <c r="N50" s="49" t="e">
        <f t="shared" si="36"/>
        <v>#DIV/0!</v>
      </c>
      <c r="O50" s="55"/>
      <c r="P50" s="49" t="e">
        <f t="shared" si="45"/>
        <v>#DIV/0!</v>
      </c>
      <c r="Q50" s="55"/>
      <c r="R50" s="49" t="e">
        <f t="shared" si="37"/>
        <v>#DIV/0!</v>
      </c>
      <c r="S50" s="55"/>
      <c r="T50" s="49" t="e">
        <f t="shared" si="38"/>
        <v>#DIV/0!</v>
      </c>
      <c r="U50" s="55"/>
      <c r="V50" s="49" t="e">
        <f t="shared" si="46"/>
        <v>#DIV/0!</v>
      </c>
      <c r="W50" s="55"/>
      <c r="X50" s="49" t="e">
        <f t="shared" si="39"/>
        <v>#DIV/0!</v>
      </c>
      <c r="Y50" s="55"/>
      <c r="Z50" s="49" t="e">
        <f t="shared" si="40"/>
        <v>#DIV/0!</v>
      </c>
      <c r="AA50" s="105">
        <f t="shared" si="47"/>
        <v>0</v>
      </c>
      <c r="AB50" s="108" t="e">
        <f t="shared" si="41"/>
        <v>#DIV/0!</v>
      </c>
      <c r="AC50" s="89">
        <f t="shared" si="1"/>
        <v>0</v>
      </c>
      <c r="AD50" s="92" t="e">
        <f t="shared" si="42"/>
        <v>#DIV/0!</v>
      </c>
      <c r="AE50" s="214"/>
      <c r="AF50" s="54"/>
      <c r="AH50" s="21">
        <f t="shared" si="2"/>
        <v>0</v>
      </c>
    </row>
    <row r="51" spans="1:34" s="289" customFormat="1">
      <c r="A51" s="128">
        <v>6110</v>
      </c>
      <c r="B51" s="2" t="s">
        <v>9</v>
      </c>
      <c r="C51" s="55"/>
      <c r="D51" s="49" t="e">
        <f t="shared" ref="D51:D60" si="48">C126/C$12</f>
        <v>#DIV/0!</v>
      </c>
      <c r="E51" s="55"/>
      <c r="F51" s="49" t="e">
        <f t="shared" ref="F51:F60" si="49">E126/E$12</f>
        <v>#DIV/0!</v>
      </c>
      <c r="G51" s="55"/>
      <c r="H51" s="49" t="e">
        <f t="shared" ref="H51:H60" si="50">G126/G$12</f>
        <v>#DIV/0!</v>
      </c>
      <c r="I51" s="55"/>
      <c r="J51" s="49" t="e">
        <f t="shared" ref="J51:J60" si="51">I126/I$12</f>
        <v>#DIV/0!</v>
      </c>
      <c r="K51" s="55"/>
      <c r="L51" s="49" t="e">
        <f t="shared" ref="L51:L60" si="52">K126/K$12</f>
        <v>#DIV/0!</v>
      </c>
      <c r="M51" s="55"/>
      <c r="N51" s="49" t="e">
        <f t="shared" ref="N51:N60" si="53">M126/M$12</f>
        <v>#DIV/0!</v>
      </c>
      <c r="O51" s="55"/>
      <c r="P51" s="49" t="e">
        <f t="shared" ref="P51:P60" si="54">O126/O$12</f>
        <v>#DIV/0!</v>
      </c>
      <c r="Q51" s="55"/>
      <c r="R51" s="49" t="e">
        <f t="shared" ref="R51:R60" si="55">Q126/Q$12</f>
        <v>#DIV/0!</v>
      </c>
      <c r="S51" s="55"/>
      <c r="T51" s="49" t="e">
        <f t="shared" ref="T51:T60" si="56">S126/S$12</f>
        <v>#DIV/0!</v>
      </c>
      <c r="U51" s="55"/>
      <c r="V51" s="49" t="e">
        <f t="shared" ref="V51:V60" si="57">U126/U$12</f>
        <v>#DIV/0!</v>
      </c>
      <c r="W51" s="55"/>
      <c r="X51" s="49" t="e">
        <f t="shared" ref="X51:X60" si="58">W126/W$12</f>
        <v>#DIV/0!</v>
      </c>
      <c r="Y51" s="55"/>
      <c r="Z51" s="49" t="e">
        <f t="shared" ref="Z51:Z60" si="59">Y126/Y$12</f>
        <v>#DIV/0!</v>
      </c>
      <c r="AA51" s="105">
        <f t="shared" si="47"/>
        <v>0</v>
      </c>
      <c r="AB51" s="108" t="e">
        <f t="shared" si="41"/>
        <v>#DIV/0!</v>
      </c>
      <c r="AC51" s="89">
        <f t="shared" si="1"/>
        <v>0</v>
      </c>
      <c r="AD51" s="92" t="e">
        <f t="shared" si="42"/>
        <v>#DIV/0!</v>
      </c>
      <c r="AE51" s="214"/>
      <c r="AF51" s="54"/>
      <c r="AH51" s="21">
        <f t="shared" si="2"/>
        <v>0</v>
      </c>
    </row>
    <row r="52" spans="1:34" s="289" customFormat="1">
      <c r="A52" s="128">
        <v>6111</v>
      </c>
      <c r="B52" s="128" t="s">
        <v>10</v>
      </c>
      <c r="C52" s="46"/>
      <c r="D52" s="49" t="e">
        <f t="shared" si="48"/>
        <v>#DIV/0!</v>
      </c>
      <c r="E52" s="46"/>
      <c r="F52" s="49" t="e">
        <f t="shared" si="49"/>
        <v>#DIV/0!</v>
      </c>
      <c r="G52" s="46"/>
      <c r="H52" s="49" t="e">
        <f t="shared" si="50"/>
        <v>#DIV/0!</v>
      </c>
      <c r="I52" s="46"/>
      <c r="J52" s="49" t="e">
        <f t="shared" si="51"/>
        <v>#DIV/0!</v>
      </c>
      <c r="K52" s="46"/>
      <c r="L52" s="49" t="e">
        <f t="shared" si="52"/>
        <v>#DIV/0!</v>
      </c>
      <c r="M52" s="46"/>
      <c r="N52" s="49" t="e">
        <f t="shared" si="53"/>
        <v>#DIV/0!</v>
      </c>
      <c r="O52" s="46"/>
      <c r="P52" s="49" t="e">
        <f t="shared" si="54"/>
        <v>#DIV/0!</v>
      </c>
      <c r="Q52" s="46"/>
      <c r="R52" s="49" t="e">
        <f t="shared" si="55"/>
        <v>#DIV/0!</v>
      </c>
      <c r="S52" s="46"/>
      <c r="T52" s="49" t="e">
        <f t="shared" si="56"/>
        <v>#DIV/0!</v>
      </c>
      <c r="U52" s="46"/>
      <c r="V52" s="49" t="e">
        <f t="shared" si="57"/>
        <v>#DIV/0!</v>
      </c>
      <c r="W52" s="46"/>
      <c r="X52" s="49" t="e">
        <f t="shared" si="58"/>
        <v>#DIV/0!</v>
      </c>
      <c r="Y52" s="46"/>
      <c r="Z52" s="49" t="e">
        <f t="shared" si="59"/>
        <v>#DIV/0!</v>
      </c>
      <c r="AA52" s="105">
        <f t="shared" si="47"/>
        <v>0</v>
      </c>
      <c r="AB52" s="108" t="e">
        <f t="shared" si="41"/>
        <v>#DIV/0!</v>
      </c>
      <c r="AC52" s="89">
        <f t="shared" si="1"/>
        <v>0</v>
      </c>
      <c r="AD52" s="92" t="e">
        <f t="shared" si="42"/>
        <v>#DIV/0!</v>
      </c>
      <c r="AE52" s="214"/>
      <c r="AF52" s="222"/>
      <c r="AH52" s="21">
        <f t="shared" si="2"/>
        <v>0</v>
      </c>
    </row>
    <row r="53" spans="1:34" s="289" customFormat="1">
      <c r="A53" s="128">
        <v>6112</v>
      </c>
      <c r="B53" s="277" t="s">
        <v>11</v>
      </c>
      <c r="C53" s="46"/>
      <c r="D53" s="49" t="e">
        <f t="shared" si="48"/>
        <v>#DIV/0!</v>
      </c>
      <c r="E53" s="46"/>
      <c r="F53" s="49" t="e">
        <f t="shared" si="49"/>
        <v>#DIV/0!</v>
      </c>
      <c r="G53" s="46"/>
      <c r="H53" s="49" t="e">
        <f t="shared" si="50"/>
        <v>#DIV/0!</v>
      </c>
      <c r="I53" s="46"/>
      <c r="J53" s="49" t="e">
        <f t="shared" si="51"/>
        <v>#DIV/0!</v>
      </c>
      <c r="K53" s="46"/>
      <c r="L53" s="49" t="e">
        <f t="shared" si="52"/>
        <v>#DIV/0!</v>
      </c>
      <c r="M53" s="46"/>
      <c r="N53" s="49" t="e">
        <f t="shared" si="53"/>
        <v>#DIV/0!</v>
      </c>
      <c r="O53" s="46"/>
      <c r="P53" s="49" t="e">
        <f t="shared" si="54"/>
        <v>#DIV/0!</v>
      </c>
      <c r="Q53" s="46"/>
      <c r="R53" s="49" t="e">
        <f t="shared" si="55"/>
        <v>#DIV/0!</v>
      </c>
      <c r="S53" s="46"/>
      <c r="T53" s="49" t="e">
        <f t="shared" si="56"/>
        <v>#DIV/0!</v>
      </c>
      <c r="U53" s="46"/>
      <c r="V53" s="49" t="e">
        <f t="shared" si="57"/>
        <v>#DIV/0!</v>
      </c>
      <c r="W53" s="46"/>
      <c r="X53" s="49" t="e">
        <f t="shared" si="58"/>
        <v>#DIV/0!</v>
      </c>
      <c r="Y53" s="46"/>
      <c r="Z53" s="49" t="e">
        <f t="shared" si="59"/>
        <v>#DIV/0!</v>
      </c>
      <c r="AA53" s="105">
        <f t="shared" si="47"/>
        <v>0</v>
      </c>
      <c r="AB53" s="108" t="e">
        <f t="shared" si="41"/>
        <v>#DIV/0!</v>
      </c>
      <c r="AC53" s="89">
        <f t="shared" si="1"/>
        <v>0</v>
      </c>
      <c r="AD53" s="92" t="e">
        <f t="shared" si="42"/>
        <v>#DIV/0!</v>
      </c>
      <c r="AE53" s="214" t="s">
        <v>235</v>
      </c>
      <c r="AF53" s="54"/>
      <c r="AH53" s="21">
        <f t="shared" si="2"/>
        <v>0</v>
      </c>
    </row>
    <row r="54" spans="1:34" s="289" customFormat="1">
      <c r="A54" s="128">
        <v>6113</v>
      </c>
      <c r="B54" s="277" t="s">
        <v>12</v>
      </c>
      <c r="C54" s="46"/>
      <c r="D54" s="49" t="e">
        <f t="shared" si="48"/>
        <v>#DIV/0!</v>
      </c>
      <c r="E54" s="46"/>
      <c r="F54" s="49" t="e">
        <f t="shared" si="49"/>
        <v>#DIV/0!</v>
      </c>
      <c r="G54" s="46"/>
      <c r="H54" s="49" t="e">
        <f t="shared" si="50"/>
        <v>#DIV/0!</v>
      </c>
      <c r="I54" s="46"/>
      <c r="J54" s="49" t="e">
        <f t="shared" si="51"/>
        <v>#DIV/0!</v>
      </c>
      <c r="K54" s="46"/>
      <c r="L54" s="49" t="e">
        <f t="shared" si="52"/>
        <v>#DIV/0!</v>
      </c>
      <c r="M54" s="46"/>
      <c r="N54" s="49" t="e">
        <f t="shared" si="53"/>
        <v>#DIV/0!</v>
      </c>
      <c r="O54" s="46"/>
      <c r="P54" s="49" t="e">
        <f t="shared" si="54"/>
        <v>#DIV/0!</v>
      </c>
      <c r="Q54" s="46"/>
      <c r="R54" s="49" t="e">
        <f t="shared" si="55"/>
        <v>#DIV/0!</v>
      </c>
      <c r="S54" s="46"/>
      <c r="T54" s="49" t="e">
        <f t="shared" si="56"/>
        <v>#DIV/0!</v>
      </c>
      <c r="U54" s="46"/>
      <c r="V54" s="49" t="e">
        <f t="shared" si="57"/>
        <v>#DIV/0!</v>
      </c>
      <c r="W54" s="46"/>
      <c r="X54" s="49" t="e">
        <f t="shared" si="58"/>
        <v>#DIV/0!</v>
      </c>
      <c r="Y54" s="46"/>
      <c r="Z54" s="49" t="e">
        <f t="shared" si="59"/>
        <v>#DIV/0!</v>
      </c>
      <c r="AA54" s="105">
        <f t="shared" si="47"/>
        <v>0</v>
      </c>
      <c r="AB54" s="108" t="e">
        <f t="shared" si="41"/>
        <v>#DIV/0!</v>
      </c>
      <c r="AC54" s="89">
        <f t="shared" si="1"/>
        <v>0</v>
      </c>
      <c r="AD54" s="92" t="e">
        <f t="shared" si="42"/>
        <v>#DIV/0!</v>
      </c>
      <c r="AE54" s="214"/>
      <c r="AF54" s="54"/>
      <c r="AH54" s="21">
        <f t="shared" si="2"/>
        <v>0</v>
      </c>
    </row>
    <row r="55" spans="1:34" s="289" customFormat="1">
      <c r="A55" s="128">
        <v>6114</v>
      </c>
      <c r="B55" s="128" t="s">
        <v>88</v>
      </c>
      <c r="C55" s="55"/>
      <c r="D55" s="49" t="e">
        <f t="shared" si="48"/>
        <v>#DIV/0!</v>
      </c>
      <c r="E55" s="55"/>
      <c r="F55" s="49" t="e">
        <f t="shared" si="49"/>
        <v>#DIV/0!</v>
      </c>
      <c r="G55" s="55"/>
      <c r="H55" s="49" t="e">
        <f t="shared" si="50"/>
        <v>#DIV/0!</v>
      </c>
      <c r="I55" s="55"/>
      <c r="J55" s="49" t="e">
        <f t="shared" si="51"/>
        <v>#DIV/0!</v>
      </c>
      <c r="K55" s="55"/>
      <c r="L55" s="49" t="e">
        <f t="shared" si="52"/>
        <v>#DIV/0!</v>
      </c>
      <c r="M55" s="55"/>
      <c r="N55" s="49" t="e">
        <f t="shared" si="53"/>
        <v>#DIV/0!</v>
      </c>
      <c r="O55" s="55"/>
      <c r="P55" s="49" t="e">
        <f t="shared" si="54"/>
        <v>#DIV/0!</v>
      </c>
      <c r="Q55" s="55"/>
      <c r="R55" s="49" t="e">
        <f t="shared" si="55"/>
        <v>#DIV/0!</v>
      </c>
      <c r="S55" s="55"/>
      <c r="T55" s="49" t="e">
        <f t="shared" si="56"/>
        <v>#DIV/0!</v>
      </c>
      <c r="U55" s="55"/>
      <c r="V55" s="49" t="e">
        <f t="shared" si="57"/>
        <v>#DIV/0!</v>
      </c>
      <c r="W55" s="55"/>
      <c r="X55" s="49" t="e">
        <f t="shared" si="58"/>
        <v>#DIV/0!</v>
      </c>
      <c r="Y55" s="55"/>
      <c r="Z55" s="49" t="e">
        <f t="shared" si="59"/>
        <v>#DIV/0!</v>
      </c>
      <c r="AA55" s="105">
        <f t="shared" si="47"/>
        <v>0</v>
      </c>
      <c r="AB55" s="108" t="e">
        <f t="shared" si="41"/>
        <v>#DIV/0!</v>
      </c>
      <c r="AC55" s="89">
        <f t="shared" si="1"/>
        <v>0</v>
      </c>
      <c r="AD55" s="92" t="e">
        <f t="shared" si="42"/>
        <v>#DIV/0!</v>
      </c>
      <c r="AE55" s="214"/>
      <c r="AF55" s="54"/>
      <c r="AH55" s="21">
        <f t="shared" si="2"/>
        <v>0</v>
      </c>
    </row>
    <row r="56" spans="1:34" s="289" customFormat="1">
      <c r="A56" s="128">
        <v>6115</v>
      </c>
      <c r="B56" s="128" t="s">
        <v>13</v>
      </c>
      <c r="C56" s="55"/>
      <c r="D56" s="49" t="e">
        <f t="shared" si="48"/>
        <v>#DIV/0!</v>
      </c>
      <c r="E56" s="55"/>
      <c r="F56" s="49" t="e">
        <f t="shared" si="49"/>
        <v>#DIV/0!</v>
      </c>
      <c r="G56" s="55"/>
      <c r="H56" s="49" t="e">
        <f t="shared" si="50"/>
        <v>#DIV/0!</v>
      </c>
      <c r="I56" s="55"/>
      <c r="J56" s="49" t="e">
        <f t="shared" si="51"/>
        <v>#DIV/0!</v>
      </c>
      <c r="K56" s="55"/>
      <c r="L56" s="49" t="e">
        <f t="shared" si="52"/>
        <v>#DIV/0!</v>
      </c>
      <c r="M56" s="55"/>
      <c r="N56" s="49" t="e">
        <f t="shared" si="53"/>
        <v>#DIV/0!</v>
      </c>
      <c r="O56" s="55"/>
      <c r="P56" s="49" t="e">
        <f t="shared" si="54"/>
        <v>#DIV/0!</v>
      </c>
      <c r="Q56" s="55"/>
      <c r="R56" s="49" t="e">
        <f t="shared" si="55"/>
        <v>#DIV/0!</v>
      </c>
      <c r="S56" s="55"/>
      <c r="T56" s="49" t="e">
        <f t="shared" si="56"/>
        <v>#DIV/0!</v>
      </c>
      <c r="U56" s="55"/>
      <c r="V56" s="49" t="e">
        <f t="shared" si="57"/>
        <v>#DIV/0!</v>
      </c>
      <c r="W56" s="55"/>
      <c r="X56" s="49" t="e">
        <f t="shared" si="58"/>
        <v>#DIV/0!</v>
      </c>
      <c r="Y56" s="55"/>
      <c r="Z56" s="49" t="e">
        <f t="shared" si="59"/>
        <v>#DIV/0!</v>
      </c>
      <c r="AA56" s="105">
        <f t="shared" si="47"/>
        <v>0</v>
      </c>
      <c r="AB56" s="108" t="e">
        <f t="shared" si="41"/>
        <v>#DIV/0!</v>
      </c>
      <c r="AC56" s="89">
        <f t="shared" si="1"/>
        <v>0</v>
      </c>
      <c r="AD56" s="92" t="e">
        <f t="shared" si="42"/>
        <v>#DIV/0!</v>
      </c>
      <c r="AE56" s="214"/>
      <c r="AF56" s="54"/>
      <c r="AH56" s="21">
        <f t="shared" si="2"/>
        <v>0</v>
      </c>
    </row>
    <row r="57" spans="1:34" s="289" customFormat="1">
      <c r="A57" s="128">
        <v>6116</v>
      </c>
      <c r="B57" s="277" t="s">
        <v>14</v>
      </c>
      <c r="C57" s="55"/>
      <c r="D57" s="49" t="e">
        <f t="shared" si="48"/>
        <v>#DIV/0!</v>
      </c>
      <c r="E57" s="55"/>
      <c r="F57" s="49" t="e">
        <f t="shared" si="49"/>
        <v>#DIV/0!</v>
      </c>
      <c r="G57" s="55"/>
      <c r="H57" s="49" t="e">
        <f t="shared" si="50"/>
        <v>#DIV/0!</v>
      </c>
      <c r="I57" s="55"/>
      <c r="J57" s="49" t="e">
        <f t="shared" si="51"/>
        <v>#DIV/0!</v>
      </c>
      <c r="K57" s="55"/>
      <c r="L57" s="49" t="e">
        <f t="shared" si="52"/>
        <v>#DIV/0!</v>
      </c>
      <c r="M57" s="55"/>
      <c r="N57" s="49" t="e">
        <f t="shared" si="53"/>
        <v>#DIV/0!</v>
      </c>
      <c r="O57" s="55"/>
      <c r="P57" s="49" t="e">
        <f t="shared" si="54"/>
        <v>#DIV/0!</v>
      </c>
      <c r="Q57" s="55"/>
      <c r="R57" s="49" t="e">
        <f t="shared" si="55"/>
        <v>#DIV/0!</v>
      </c>
      <c r="S57" s="55"/>
      <c r="T57" s="49" t="e">
        <f t="shared" si="56"/>
        <v>#DIV/0!</v>
      </c>
      <c r="U57" s="55"/>
      <c r="V57" s="49" t="e">
        <f t="shared" si="57"/>
        <v>#DIV/0!</v>
      </c>
      <c r="W57" s="55"/>
      <c r="X57" s="49" t="e">
        <f t="shared" si="58"/>
        <v>#DIV/0!</v>
      </c>
      <c r="Y57" s="55"/>
      <c r="Z57" s="49" t="e">
        <f t="shared" si="59"/>
        <v>#DIV/0!</v>
      </c>
      <c r="AA57" s="105">
        <f t="shared" si="47"/>
        <v>0</v>
      </c>
      <c r="AB57" s="108" t="e">
        <f t="shared" si="41"/>
        <v>#DIV/0!</v>
      </c>
      <c r="AC57" s="89">
        <f t="shared" si="1"/>
        <v>0</v>
      </c>
      <c r="AD57" s="92" t="e">
        <f t="shared" si="42"/>
        <v>#DIV/0!</v>
      </c>
      <c r="AE57" s="214"/>
      <c r="AF57" s="54"/>
      <c r="AH57" s="21">
        <f t="shared" si="2"/>
        <v>0</v>
      </c>
    </row>
    <row r="58" spans="1:34" s="289" customFormat="1">
      <c r="A58" s="128">
        <v>6117</v>
      </c>
      <c r="B58" s="128" t="s">
        <v>15</v>
      </c>
      <c r="C58" s="46"/>
      <c r="D58" s="49" t="e">
        <f t="shared" si="48"/>
        <v>#DIV/0!</v>
      </c>
      <c r="E58" s="46"/>
      <c r="F58" s="49" t="e">
        <f t="shared" si="49"/>
        <v>#DIV/0!</v>
      </c>
      <c r="G58" s="46"/>
      <c r="H58" s="49" t="e">
        <f t="shared" si="50"/>
        <v>#DIV/0!</v>
      </c>
      <c r="I58" s="46"/>
      <c r="J58" s="49" t="e">
        <f t="shared" si="51"/>
        <v>#DIV/0!</v>
      </c>
      <c r="K58" s="46"/>
      <c r="L58" s="49" t="e">
        <f t="shared" si="52"/>
        <v>#DIV/0!</v>
      </c>
      <c r="M58" s="46"/>
      <c r="N58" s="49" t="e">
        <f t="shared" si="53"/>
        <v>#DIV/0!</v>
      </c>
      <c r="O58" s="46"/>
      <c r="P58" s="49" t="e">
        <f t="shared" si="54"/>
        <v>#DIV/0!</v>
      </c>
      <c r="Q58" s="46"/>
      <c r="R58" s="195" t="e">
        <f t="shared" si="55"/>
        <v>#DIV/0!</v>
      </c>
      <c r="S58" s="46"/>
      <c r="T58" s="195" t="e">
        <f t="shared" si="56"/>
        <v>#DIV/0!</v>
      </c>
      <c r="U58" s="46"/>
      <c r="V58" s="195" t="e">
        <f t="shared" si="57"/>
        <v>#DIV/0!</v>
      </c>
      <c r="W58" s="46"/>
      <c r="X58" s="196" t="e">
        <f t="shared" si="58"/>
        <v>#DIV/0!</v>
      </c>
      <c r="Y58" s="46"/>
      <c r="Z58" s="195" t="e">
        <f t="shared" si="59"/>
        <v>#DIV/0!</v>
      </c>
      <c r="AA58" s="105">
        <f t="shared" si="47"/>
        <v>0</v>
      </c>
      <c r="AB58" s="108" t="e">
        <f t="shared" si="41"/>
        <v>#DIV/0!</v>
      </c>
      <c r="AC58" s="89">
        <f t="shared" si="1"/>
        <v>0</v>
      </c>
      <c r="AD58" s="92" t="e">
        <f t="shared" si="42"/>
        <v>#DIV/0!</v>
      </c>
      <c r="AE58" s="216"/>
      <c r="AF58" s="54"/>
      <c r="AH58" s="21">
        <f t="shared" si="2"/>
        <v>0</v>
      </c>
    </row>
    <row r="59" spans="1:34" s="289" customFormat="1">
      <c r="A59" s="128">
        <v>6118</v>
      </c>
      <c r="B59" s="277" t="s">
        <v>16</v>
      </c>
      <c r="C59" s="55"/>
      <c r="D59" s="49" t="e">
        <f t="shared" si="48"/>
        <v>#DIV/0!</v>
      </c>
      <c r="E59" s="55"/>
      <c r="F59" s="49" t="e">
        <f t="shared" si="49"/>
        <v>#DIV/0!</v>
      </c>
      <c r="G59" s="55"/>
      <c r="H59" s="49" t="e">
        <f t="shared" si="50"/>
        <v>#DIV/0!</v>
      </c>
      <c r="I59" s="55"/>
      <c r="J59" s="49" t="e">
        <f t="shared" si="51"/>
        <v>#DIV/0!</v>
      </c>
      <c r="K59" s="55"/>
      <c r="L59" s="49" t="e">
        <f t="shared" si="52"/>
        <v>#DIV/0!</v>
      </c>
      <c r="M59" s="55"/>
      <c r="N59" s="49" t="e">
        <f t="shared" si="53"/>
        <v>#DIV/0!</v>
      </c>
      <c r="O59" s="55"/>
      <c r="P59" s="49" t="e">
        <f t="shared" si="54"/>
        <v>#DIV/0!</v>
      </c>
      <c r="Q59" s="55"/>
      <c r="R59" s="49" t="e">
        <f t="shared" si="55"/>
        <v>#DIV/0!</v>
      </c>
      <c r="S59" s="55"/>
      <c r="T59" s="49" t="e">
        <f t="shared" si="56"/>
        <v>#DIV/0!</v>
      </c>
      <c r="U59" s="55"/>
      <c r="V59" s="49" t="e">
        <f t="shared" si="57"/>
        <v>#DIV/0!</v>
      </c>
      <c r="W59" s="55"/>
      <c r="X59" s="49" t="e">
        <f t="shared" si="58"/>
        <v>#DIV/0!</v>
      </c>
      <c r="Y59" s="55"/>
      <c r="Z59" s="49" t="e">
        <f t="shared" si="59"/>
        <v>#DIV/0!</v>
      </c>
      <c r="AA59" s="105">
        <f t="shared" si="47"/>
        <v>0</v>
      </c>
      <c r="AB59" s="108" t="e">
        <f t="shared" si="41"/>
        <v>#DIV/0!</v>
      </c>
      <c r="AC59" s="89">
        <f t="shared" si="1"/>
        <v>0</v>
      </c>
      <c r="AD59" s="92" t="e">
        <f t="shared" si="42"/>
        <v>#DIV/0!</v>
      </c>
      <c r="AE59" s="214"/>
      <c r="AF59" s="54"/>
      <c r="AH59" s="21">
        <f t="shared" si="2"/>
        <v>0</v>
      </c>
    </row>
    <row r="60" spans="1:34" s="289" customFormat="1">
      <c r="A60" s="128">
        <v>6119</v>
      </c>
      <c r="B60" s="128" t="s">
        <v>17</v>
      </c>
      <c r="C60" s="46"/>
      <c r="D60" s="49" t="e">
        <f t="shared" si="48"/>
        <v>#DIV/0!</v>
      </c>
      <c r="E60" s="46"/>
      <c r="F60" s="49" t="e">
        <f t="shared" si="49"/>
        <v>#DIV/0!</v>
      </c>
      <c r="G60" s="46"/>
      <c r="H60" s="49" t="e">
        <f t="shared" si="50"/>
        <v>#DIV/0!</v>
      </c>
      <c r="I60" s="46"/>
      <c r="J60" s="49" t="e">
        <f t="shared" si="51"/>
        <v>#DIV/0!</v>
      </c>
      <c r="K60" s="46"/>
      <c r="L60" s="49" t="e">
        <f t="shared" si="52"/>
        <v>#DIV/0!</v>
      </c>
      <c r="M60" s="46"/>
      <c r="N60" s="49" t="e">
        <f t="shared" si="53"/>
        <v>#DIV/0!</v>
      </c>
      <c r="O60" s="46"/>
      <c r="P60" s="49" t="e">
        <f t="shared" si="54"/>
        <v>#DIV/0!</v>
      </c>
      <c r="Q60" s="46"/>
      <c r="R60" s="49" t="e">
        <f t="shared" si="55"/>
        <v>#DIV/0!</v>
      </c>
      <c r="S60" s="46"/>
      <c r="T60" s="49" t="e">
        <f t="shared" si="56"/>
        <v>#DIV/0!</v>
      </c>
      <c r="U60" s="46"/>
      <c r="V60" s="49" t="e">
        <f t="shared" si="57"/>
        <v>#DIV/0!</v>
      </c>
      <c r="W60" s="46"/>
      <c r="X60" s="49" t="e">
        <f t="shared" si="58"/>
        <v>#DIV/0!</v>
      </c>
      <c r="Y60" s="46"/>
      <c r="Z60" s="49" t="e">
        <f t="shared" si="59"/>
        <v>#DIV/0!</v>
      </c>
      <c r="AA60" s="105">
        <f t="shared" si="47"/>
        <v>0</v>
      </c>
      <c r="AB60" s="108" t="e">
        <f t="shared" si="41"/>
        <v>#DIV/0!</v>
      </c>
      <c r="AC60" s="89">
        <f t="shared" si="1"/>
        <v>0</v>
      </c>
      <c r="AD60" s="92" t="e">
        <f t="shared" si="42"/>
        <v>#DIV/0!</v>
      </c>
      <c r="AE60" s="214"/>
      <c r="AF60" s="54"/>
      <c r="AG60" s="5"/>
      <c r="AH60" s="21">
        <f t="shared" si="2"/>
        <v>0</v>
      </c>
    </row>
    <row r="61" spans="1:34" s="289" customFormat="1">
      <c r="A61" s="128">
        <v>6120</v>
      </c>
      <c r="B61" s="128" t="s">
        <v>18</v>
      </c>
      <c r="C61" s="46"/>
      <c r="D61" s="49" t="e">
        <f t="shared" ref="D61:D66" si="60">C61/C$12</f>
        <v>#DIV/0!</v>
      </c>
      <c r="E61" s="46"/>
      <c r="F61" s="49" t="e">
        <f t="shared" ref="F61:F66" si="61">E61/E$12</f>
        <v>#DIV/0!</v>
      </c>
      <c r="G61" s="46"/>
      <c r="H61" s="49" t="e">
        <f t="shared" ref="H61:H66" si="62">G61/G$12</f>
        <v>#DIV/0!</v>
      </c>
      <c r="I61" s="46"/>
      <c r="J61" s="49" t="e">
        <f t="shared" ref="J61:J66" si="63">I61/I$12</f>
        <v>#DIV/0!</v>
      </c>
      <c r="K61" s="46"/>
      <c r="L61" s="49" t="e">
        <f t="shared" ref="L61:L66" si="64">K61/K$12</f>
        <v>#DIV/0!</v>
      </c>
      <c r="M61" s="46"/>
      <c r="N61" s="49" t="e">
        <f t="shared" ref="N61:N69" si="65">M61/M$12</f>
        <v>#DIV/0!</v>
      </c>
      <c r="O61" s="46"/>
      <c r="P61" s="49" t="e">
        <f t="shared" ref="P61:P69" si="66">O61/O$12</f>
        <v>#DIV/0!</v>
      </c>
      <c r="Q61" s="46"/>
      <c r="R61" s="49" t="e">
        <f t="shared" ref="R61:R66" si="67">Q61/Q$12</f>
        <v>#DIV/0!</v>
      </c>
      <c r="S61" s="46"/>
      <c r="T61" s="49" t="e">
        <f t="shared" ref="T61:T66" si="68">S61/S$12</f>
        <v>#DIV/0!</v>
      </c>
      <c r="U61" s="46"/>
      <c r="V61" s="49" t="e">
        <f t="shared" ref="V61:V66" si="69">U61/U$12</f>
        <v>#DIV/0!</v>
      </c>
      <c r="W61" s="46"/>
      <c r="X61" s="49" t="e">
        <f t="shared" ref="X61:X66" si="70">W61/W$12</f>
        <v>#DIV/0!</v>
      </c>
      <c r="Y61" s="46"/>
      <c r="Z61" s="49" t="e">
        <f t="shared" ref="Z61:Z66" si="71">Y61/Y$12</f>
        <v>#DIV/0!</v>
      </c>
      <c r="AA61" s="105">
        <f t="shared" si="47"/>
        <v>0</v>
      </c>
      <c r="AB61" s="108" t="e">
        <f t="shared" si="41"/>
        <v>#DIV/0!</v>
      </c>
      <c r="AC61" s="89">
        <f t="shared" si="1"/>
        <v>0</v>
      </c>
      <c r="AD61" s="92" t="e">
        <f t="shared" si="42"/>
        <v>#DIV/0!</v>
      </c>
      <c r="AE61" s="214"/>
      <c r="AF61" s="54"/>
      <c r="AH61" s="21">
        <f t="shared" si="2"/>
        <v>0</v>
      </c>
    </row>
    <row r="62" spans="1:34" s="289" customFormat="1">
      <c r="A62" s="128">
        <v>6121</v>
      </c>
      <c r="B62" s="2" t="s">
        <v>19</v>
      </c>
      <c r="C62" s="46"/>
      <c r="D62" s="49" t="e">
        <f t="shared" si="60"/>
        <v>#DIV/0!</v>
      </c>
      <c r="E62" s="46"/>
      <c r="F62" s="49" t="e">
        <f t="shared" si="61"/>
        <v>#DIV/0!</v>
      </c>
      <c r="G62" s="46"/>
      <c r="H62" s="49" t="e">
        <f t="shared" si="62"/>
        <v>#DIV/0!</v>
      </c>
      <c r="I62" s="46"/>
      <c r="J62" s="49" t="e">
        <f t="shared" si="63"/>
        <v>#DIV/0!</v>
      </c>
      <c r="K62" s="46"/>
      <c r="L62" s="49" t="e">
        <f t="shared" si="64"/>
        <v>#DIV/0!</v>
      </c>
      <c r="M62" s="46"/>
      <c r="N62" s="49" t="e">
        <f t="shared" si="65"/>
        <v>#DIV/0!</v>
      </c>
      <c r="O62" s="46"/>
      <c r="P62" s="49" t="e">
        <f t="shared" si="66"/>
        <v>#DIV/0!</v>
      </c>
      <c r="Q62" s="46"/>
      <c r="R62" s="49" t="e">
        <f t="shared" si="67"/>
        <v>#DIV/0!</v>
      </c>
      <c r="S62" s="46"/>
      <c r="T62" s="49" t="e">
        <f t="shared" si="68"/>
        <v>#DIV/0!</v>
      </c>
      <c r="U62" s="46"/>
      <c r="V62" s="49" t="e">
        <f t="shared" si="69"/>
        <v>#DIV/0!</v>
      </c>
      <c r="W62" s="46"/>
      <c r="X62" s="49" t="e">
        <f t="shared" si="70"/>
        <v>#DIV/0!</v>
      </c>
      <c r="Y62" s="46"/>
      <c r="Z62" s="49" t="e">
        <f t="shared" si="71"/>
        <v>#DIV/0!</v>
      </c>
      <c r="AA62" s="105">
        <f t="shared" si="47"/>
        <v>0</v>
      </c>
      <c r="AB62" s="108" t="e">
        <f t="shared" si="41"/>
        <v>#DIV/0!</v>
      </c>
      <c r="AC62" s="89">
        <f t="shared" si="1"/>
        <v>0</v>
      </c>
      <c r="AD62" s="92" t="e">
        <f t="shared" si="42"/>
        <v>#DIV/0!</v>
      </c>
      <c r="AE62" s="214"/>
      <c r="AF62" s="54"/>
      <c r="AH62" s="21">
        <f t="shared" si="2"/>
        <v>0</v>
      </c>
    </row>
    <row r="63" spans="1:34" s="289" customFormat="1">
      <c r="A63" s="2">
        <v>6122</v>
      </c>
      <c r="B63" s="2" t="s">
        <v>20</v>
      </c>
      <c r="C63" s="46"/>
      <c r="D63" s="49" t="e">
        <f t="shared" si="60"/>
        <v>#DIV/0!</v>
      </c>
      <c r="E63" s="46"/>
      <c r="F63" s="49" t="e">
        <f t="shared" si="61"/>
        <v>#DIV/0!</v>
      </c>
      <c r="G63" s="46"/>
      <c r="H63" s="49" t="e">
        <f t="shared" si="62"/>
        <v>#DIV/0!</v>
      </c>
      <c r="I63" s="46"/>
      <c r="J63" s="49" t="e">
        <f t="shared" si="63"/>
        <v>#DIV/0!</v>
      </c>
      <c r="K63" s="46"/>
      <c r="L63" s="49" t="e">
        <f t="shared" si="64"/>
        <v>#DIV/0!</v>
      </c>
      <c r="M63" s="46"/>
      <c r="N63" s="49" t="e">
        <f t="shared" si="65"/>
        <v>#DIV/0!</v>
      </c>
      <c r="O63" s="46"/>
      <c r="P63" s="49" t="e">
        <f t="shared" si="66"/>
        <v>#DIV/0!</v>
      </c>
      <c r="Q63" s="46"/>
      <c r="R63" s="49" t="e">
        <f t="shared" si="67"/>
        <v>#DIV/0!</v>
      </c>
      <c r="S63" s="46"/>
      <c r="T63" s="49" t="e">
        <f t="shared" si="68"/>
        <v>#DIV/0!</v>
      </c>
      <c r="U63" s="46"/>
      <c r="V63" s="49" t="e">
        <f t="shared" si="69"/>
        <v>#DIV/0!</v>
      </c>
      <c r="W63" s="46"/>
      <c r="X63" s="49" t="e">
        <f t="shared" si="70"/>
        <v>#DIV/0!</v>
      </c>
      <c r="Y63" s="46"/>
      <c r="Z63" s="49" t="e">
        <f t="shared" si="71"/>
        <v>#DIV/0!</v>
      </c>
      <c r="AA63" s="105">
        <f t="shared" si="47"/>
        <v>0</v>
      </c>
      <c r="AB63" s="108" t="e">
        <f t="shared" si="41"/>
        <v>#DIV/0!</v>
      </c>
      <c r="AC63" s="89">
        <f t="shared" si="1"/>
        <v>0</v>
      </c>
      <c r="AD63" s="92" t="e">
        <f t="shared" si="42"/>
        <v>#DIV/0!</v>
      </c>
      <c r="AE63" s="214"/>
      <c r="AF63" s="54"/>
      <c r="AH63" s="21">
        <f t="shared" si="2"/>
        <v>0</v>
      </c>
    </row>
    <row r="64" spans="1:34" s="289" customFormat="1">
      <c r="A64" s="2">
        <v>6123</v>
      </c>
      <c r="B64" s="2" t="s">
        <v>21</v>
      </c>
      <c r="C64" s="46"/>
      <c r="D64" s="49" t="e">
        <f t="shared" si="60"/>
        <v>#DIV/0!</v>
      </c>
      <c r="E64" s="46"/>
      <c r="F64" s="49" t="e">
        <f t="shared" si="61"/>
        <v>#DIV/0!</v>
      </c>
      <c r="G64" s="46"/>
      <c r="H64" s="49" t="e">
        <f t="shared" si="62"/>
        <v>#DIV/0!</v>
      </c>
      <c r="I64" s="46"/>
      <c r="J64" s="49" t="e">
        <f t="shared" si="63"/>
        <v>#DIV/0!</v>
      </c>
      <c r="K64" s="46"/>
      <c r="L64" s="49" t="e">
        <f t="shared" si="64"/>
        <v>#DIV/0!</v>
      </c>
      <c r="M64" s="46"/>
      <c r="N64" s="49" t="e">
        <f t="shared" si="65"/>
        <v>#DIV/0!</v>
      </c>
      <c r="O64" s="46"/>
      <c r="P64" s="49" t="e">
        <f t="shared" si="66"/>
        <v>#DIV/0!</v>
      </c>
      <c r="Q64" s="46"/>
      <c r="R64" s="49" t="e">
        <f t="shared" si="67"/>
        <v>#DIV/0!</v>
      </c>
      <c r="S64" s="46"/>
      <c r="T64" s="49" t="e">
        <f t="shared" si="68"/>
        <v>#DIV/0!</v>
      </c>
      <c r="U64" s="46"/>
      <c r="V64" s="49" t="e">
        <f t="shared" si="69"/>
        <v>#DIV/0!</v>
      </c>
      <c r="W64" s="46"/>
      <c r="X64" s="49" t="e">
        <f t="shared" si="70"/>
        <v>#DIV/0!</v>
      </c>
      <c r="Y64" s="46"/>
      <c r="Z64" s="49" t="e">
        <f t="shared" si="71"/>
        <v>#DIV/0!</v>
      </c>
      <c r="AA64" s="105">
        <f t="shared" si="47"/>
        <v>0</v>
      </c>
      <c r="AB64" s="108" t="e">
        <f t="shared" si="41"/>
        <v>#DIV/0!</v>
      </c>
      <c r="AC64" s="89">
        <f t="shared" si="1"/>
        <v>0</v>
      </c>
      <c r="AD64" s="92" t="e">
        <f t="shared" si="42"/>
        <v>#DIV/0!</v>
      </c>
      <c r="AE64" s="214"/>
      <c r="AF64" s="54"/>
      <c r="AH64" s="21">
        <f t="shared" si="2"/>
        <v>0</v>
      </c>
    </row>
    <row r="65" spans="1:35" s="289" customFormat="1">
      <c r="A65" s="128">
        <v>6124</v>
      </c>
      <c r="B65" s="2" t="s">
        <v>22</v>
      </c>
      <c r="C65" s="46"/>
      <c r="D65" s="49" t="e">
        <f t="shared" si="60"/>
        <v>#DIV/0!</v>
      </c>
      <c r="E65" s="46"/>
      <c r="F65" s="49" t="e">
        <f t="shared" si="61"/>
        <v>#DIV/0!</v>
      </c>
      <c r="G65" s="46"/>
      <c r="H65" s="49" t="e">
        <f t="shared" si="62"/>
        <v>#DIV/0!</v>
      </c>
      <c r="I65" s="46"/>
      <c r="J65" s="49" t="e">
        <f t="shared" si="63"/>
        <v>#DIV/0!</v>
      </c>
      <c r="K65" s="46"/>
      <c r="L65" s="49" t="e">
        <f t="shared" si="64"/>
        <v>#DIV/0!</v>
      </c>
      <c r="M65" s="46"/>
      <c r="N65" s="49" t="e">
        <f t="shared" si="65"/>
        <v>#DIV/0!</v>
      </c>
      <c r="O65" s="46"/>
      <c r="P65" s="49" t="e">
        <f t="shared" si="66"/>
        <v>#DIV/0!</v>
      </c>
      <c r="Q65" s="46"/>
      <c r="R65" s="49" t="e">
        <f t="shared" si="67"/>
        <v>#DIV/0!</v>
      </c>
      <c r="S65" s="46"/>
      <c r="T65" s="49" t="e">
        <f t="shared" si="68"/>
        <v>#DIV/0!</v>
      </c>
      <c r="U65" s="46"/>
      <c r="V65" s="49" t="e">
        <f t="shared" si="69"/>
        <v>#DIV/0!</v>
      </c>
      <c r="W65" s="46"/>
      <c r="X65" s="49" t="e">
        <f t="shared" si="70"/>
        <v>#DIV/0!</v>
      </c>
      <c r="Y65" s="46"/>
      <c r="Z65" s="49" t="e">
        <f t="shared" si="71"/>
        <v>#DIV/0!</v>
      </c>
      <c r="AA65" s="105">
        <f t="shared" si="47"/>
        <v>0</v>
      </c>
      <c r="AB65" s="108" t="e">
        <f t="shared" si="41"/>
        <v>#DIV/0!</v>
      </c>
      <c r="AC65" s="89">
        <f t="shared" si="1"/>
        <v>0</v>
      </c>
      <c r="AD65" s="92" t="e">
        <f t="shared" si="42"/>
        <v>#DIV/0!</v>
      </c>
      <c r="AE65" s="334">
        <f>160000*2%/12</f>
        <v>266.66666666666669</v>
      </c>
      <c r="AF65" s="54" t="s">
        <v>236</v>
      </c>
      <c r="AH65" s="21">
        <f t="shared" si="2"/>
        <v>0</v>
      </c>
      <c r="AI65" s="289" t="s">
        <v>258</v>
      </c>
    </row>
    <row r="66" spans="1:35" s="289" customFormat="1">
      <c r="A66" s="128">
        <v>6125</v>
      </c>
      <c r="B66" s="2" t="s">
        <v>78</v>
      </c>
      <c r="C66" s="46"/>
      <c r="D66" s="49" t="e">
        <f t="shared" si="60"/>
        <v>#DIV/0!</v>
      </c>
      <c r="E66" s="46"/>
      <c r="F66" s="49" t="e">
        <f t="shared" si="61"/>
        <v>#DIV/0!</v>
      </c>
      <c r="G66" s="46"/>
      <c r="H66" s="49" t="e">
        <f t="shared" si="62"/>
        <v>#DIV/0!</v>
      </c>
      <c r="I66" s="46"/>
      <c r="J66" s="49" t="e">
        <f t="shared" si="63"/>
        <v>#DIV/0!</v>
      </c>
      <c r="K66" s="46"/>
      <c r="L66" s="49" t="e">
        <f t="shared" si="64"/>
        <v>#DIV/0!</v>
      </c>
      <c r="M66" s="46"/>
      <c r="N66" s="49" t="e">
        <f t="shared" si="65"/>
        <v>#DIV/0!</v>
      </c>
      <c r="O66" s="46"/>
      <c r="P66" s="49" t="e">
        <f t="shared" si="66"/>
        <v>#DIV/0!</v>
      </c>
      <c r="Q66" s="46"/>
      <c r="R66" s="49" t="e">
        <f t="shared" si="67"/>
        <v>#DIV/0!</v>
      </c>
      <c r="S66" s="46"/>
      <c r="T66" s="49" t="e">
        <f t="shared" si="68"/>
        <v>#DIV/0!</v>
      </c>
      <c r="U66" s="46"/>
      <c r="V66" s="49" t="e">
        <f t="shared" si="69"/>
        <v>#DIV/0!</v>
      </c>
      <c r="W66" s="46"/>
      <c r="X66" s="49" t="e">
        <f t="shared" si="70"/>
        <v>#DIV/0!</v>
      </c>
      <c r="Y66" s="46"/>
      <c r="Z66" s="49" t="e">
        <f t="shared" si="71"/>
        <v>#DIV/0!</v>
      </c>
      <c r="AA66" s="105">
        <f t="shared" si="47"/>
        <v>0</v>
      </c>
      <c r="AB66" s="108" t="e">
        <f t="shared" si="41"/>
        <v>#DIV/0!</v>
      </c>
      <c r="AC66" s="89">
        <f t="shared" si="1"/>
        <v>0</v>
      </c>
      <c r="AD66" s="92" t="e">
        <f t="shared" si="42"/>
        <v>#DIV/0!</v>
      </c>
      <c r="AE66" s="214"/>
      <c r="AF66" s="54"/>
      <c r="AH66" s="21">
        <f t="shared" si="2"/>
        <v>0</v>
      </c>
    </row>
    <row r="67" spans="1:35" s="289" customFormat="1">
      <c r="A67" s="2">
        <v>6126</v>
      </c>
      <c r="B67" s="2" t="s">
        <v>113</v>
      </c>
      <c r="C67" s="46"/>
      <c r="D67" s="49"/>
      <c r="E67" s="46"/>
      <c r="F67" s="49"/>
      <c r="G67" s="46"/>
      <c r="H67" s="49"/>
      <c r="I67" s="46"/>
      <c r="J67" s="49"/>
      <c r="K67" s="46"/>
      <c r="L67" s="49"/>
      <c r="M67" s="46"/>
      <c r="N67" s="49" t="e">
        <f t="shared" si="65"/>
        <v>#DIV/0!</v>
      </c>
      <c r="O67" s="46"/>
      <c r="P67" s="49" t="e">
        <f t="shared" si="66"/>
        <v>#DIV/0!</v>
      </c>
      <c r="Q67" s="46"/>
      <c r="R67" s="49"/>
      <c r="S67" s="46"/>
      <c r="T67" s="49"/>
      <c r="U67" s="46"/>
      <c r="V67" s="49"/>
      <c r="W67" s="46"/>
      <c r="X67" s="49"/>
      <c r="Y67" s="46"/>
      <c r="Z67" s="49"/>
      <c r="AA67" s="105">
        <f t="shared" si="47"/>
        <v>0</v>
      </c>
      <c r="AB67" s="108" t="e">
        <f t="shared" si="41"/>
        <v>#DIV/0!</v>
      </c>
      <c r="AC67" s="89">
        <f t="shared" si="1"/>
        <v>0</v>
      </c>
      <c r="AD67" s="92" t="e">
        <f t="shared" si="42"/>
        <v>#DIV/0!</v>
      </c>
      <c r="AE67" s="214"/>
      <c r="AF67" s="54"/>
      <c r="AH67" s="21">
        <f t="shared" si="2"/>
        <v>0</v>
      </c>
    </row>
    <row r="68" spans="1:35" s="289" customFormat="1">
      <c r="A68" s="128">
        <v>6127</v>
      </c>
      <c r="B68" s="2" t="s">
        <v>76</v>
      </c>
      <c r="C68" s="55"/>
      <c r="D68" s="49" t="e">
        <f>C68/C$12</f>
        <v>#DIV/0!</v>
      </c>
      <c r="E68" s="55"/>
      <c r="F68" s="49" t="e">
        <f t="shared" ref="F68" si="72">E68/E$12</f>
        <v>#DIV/0!</v>
      </c>
      <c r="G68" s="55"/>
      <c r="H68" s="49" t="e">
        <f t="shared" ref="H68" si="73">G68/G$12</f>
        <v>#DIV/0!</v>
      </c>
      <c r="I68" s="55"/>
      <c r="J68" s="49" t="e">
        <f t="shared" ref="J68" si="74">I68/I$12</f>
        <v>#DIV/0!</v>
      </c>
      <c r="K68" s="55"/>
      <c r="L68" s="49" t="e">
        <f t="shared" ref="L68" si="75">K68/K$12</f>
        <v>#DIV/0!</v>
      </c>
      <c r="M68" s="55"/>
      <c r="N68" s="49" t="e">
        <f t="shared" si="65"/>
        <v>#DIV/0!</v>
      </c>
      <c r="O68" s="55"/>
      <c r="P68" s="49" t="e">
        <f t="shared" si="66"/>
        <v>#DIV/0!</v>
      </c>
      <c r="Q68" s="55"/>
      <c r="R68" s="49" t="e">
        <f t="shared" ref="R68" si="76">Q68/Q$12</f>
        <v>#DIV/0!</v>
      </c>
      <c r="S68" s="55"/>
      <c r="T68" s="49" t="e">
        <f t="shared" ref="T68" si="77">S68/S$12</f>
        <v>#DIV/0!</v>
      </c>
      <c r="U68" s="55"/>
      <c r="V68" s="49" t="e">
        <f t="shared" ref="V68" si="78">U68/U$12</f>
        <v>#DIV/0!</v>
      </c>
      <c r="W68" s="55"/>
      <c r="X68" s="49" t="e">
        <f t="shared" ref="X68" si="79">W68/W$12</f>
        <v>#DIV/0!</v>
      </c>
      <c r="Y68" s="55"/>
      <c r="Z68" s="49" t="e">
        <f t="shared" ref="Z68" si="80">Y68/Y$12</f>
        <v>#DIV/0!</v>
      </c>
      <c r="AA68" s="105">
        <f t="shared" si="47"/>
        <v>0</v>
      </c>
      <c r="AB68" s="108" t="e">
        <f t="shared" si="41"/>
        <v>#DIV/0!</v>
      </c>
      <c r="AC68" s="89">
        <f t="shared" si="1"/>
        <v>0</v>
      </c>
      <c r="AD68" s="92" t="e">
        <f t="shared" si="42"/>
        <v>#DIV/0!</v>
      </c>
      <c r="AE68" s="214"/>
      <c r="AF68" s="54"/>
      <c r="AH68" s="21">
        <f t="shared" si="2"/>
        <v>0</v>
      </c>
    </row>
    <row r="69" spans="1:35" s="289" customFormat="1">
      <c r="A69" s="2">
        <v>6129</v>
      </c>
      <c r="B69" s="2" t="s">
        <v>206</v>
      </c>
      <c r="C69" s="280"/>
      <c r="D69" s="108" t="e">
        <f t="shared" ref="D69:AD75" si="81">C69/C$12</f>
        <v>#DIV/0!</v>
      </c>
      <c r="E69" s="280"/>
      <c r="F69" s="108" t="e">
        <f t="shared" ref="F69" si="82">E69/E$12</f>
        <v>#DIV/0!</v>
      </c>
      <c r="G69" s="280"/>
      <c r="H69" s="108" t="e">
        <f t="shared" ref="H69" si="83">G69/G$12</f>
        <v>#DIV/0!</v>
      </c>
      <c r="I69" s="280"/>
      <c r="J69" s="108" t="e">
        <f t="shared" ref="J69" si="84">I69/I$12</f>
        <v>#DIV/0!</v>
      </c>
      <c r="K69" s="280"/>
      <c r="L69" s="108" t="e">
        <f t="shared" ref="L69" si="85">K69/K$12</f>
        <v>#DIV/0!</v>
      </c>
      <c r="M69" s="280"/>
      <c r="N69" s="49" t="e">
        <f t="shared" si="65"/>
        <v>#DIV/0!</v>
      </c>
      <c r="O69" s="280"/>
      <c r="P69" s="49" t="e">
        <f t="shared" si="66"/>
        <v>#DIV/0!</v>
      </c>
      <c r="Q69" s="280"/>
      <c r="R69" s="108" t="e">
        <f t="shared" ref="R69" si="86">Q69/Q$12</f>
        <v>#DIV/0!</v>
      </c>
      <c r="S69" s="280"/>
      <c r="T69" s="108" t="e">
        <f t="shared" ref="T69:T121" si="87">S69/S$12</f>
        <v>#DIV/0!</v>
      </c>
      <c r="U69" s="280"/>
      <c r="V69" s="108" t="e">
        <f t="shared" ref="V69" si="88">U69/U$12</f>
        <v>#DIV/0!</v>
      </c>
      <c r="W69" s="280"/>
      <c r="X69" s="144" t="e">
        <f t="shared" ref="X69" si="89">W69/W$12</f>
        <v>#DIV/0!</v>
      </c>
      <c r="Y69" s="280"/>
      <c r="Z69" s="49" t="e">
        <f t="shared" ref="Z69:Z121" si="90">Y69/Y$12</f>
        <v>#DIV/0!</v>
      </c>
      <c r="AA69" s="105">
        <f t="shared" si="47"/>
        <v>0</v>
      </c>
      <c r="AB69" s="108" t="e">
        <f t="shared" si="41"/>
        <v>#DIV/0!</v>
      </c>
      <c r="AC69" s="89">
        <f t="shared" si="1"/>
        <v>0</v>
      </c>
      <c r="AD69" s="92" t="e">
        <f t="shared" si="42"/>
        <v>#DIV/0!</v>
      </c>
      <c r="AE69" s="214"/>
      <c r="AF69" s="54"/>
      <c r="AH69" s="21">
        <f t="shared" si="2"/>
        <v>0</v>
      </c>
    </row>
    <row r="70" spans="1:35" s="289" customFormat="1">
      <c r="A70" s="2">
        <v>6131</v>
      </c>
      <c r="B70" s="2" t="s">
        <v>224</v>
      </c>
      <c r="C70" s="331"/>
      <c r="D70" s="108" t="e">
        <f t="shared" si="81"/>
        <v>#DIV/0!</v>
      </c>
      <c r="E70" s="331"/>
      <c r="F70" s="108" t="e">
        <f t="shared" si="81"/>
        <v>#DIV/0!</v>
      </c>
      <c r="G70" s="331"/>
      <c r="H70" s="108" t="e">
        <f t="shared" si="81"/>
        <v>#DIV/0!</v>
      </c>
      <c r="I70" s="331"/>
      <c r="J70" s="108" t="e">
        <f t="shared" si="81"/>
        <v>#DIV/0!</v>
      </c>
      <c r="K70" s="331"/>
      <c r="L70" s="108" t="e">
        <f t="shared" si="81"/>
        <v>#DIV/0!</v>
      </c>
      <c r="M70" s="331"/>
      <c r="N70" s="108" t="e">
        <f t="shared" si="81"/>
        <v>#DIV/0!</v>
      </c>
      <c r="O70" s="331"/>
      <c r="P70" s="108" t="e">
        <f t="shared" si="81"/>
        <v>#DIV/0!</v>
      </c>
      <c r="Q70" s="331"/>
      <c r="R70" s="108" t="e">
        <f t="shared" si="81"/>
        <v>#DIV/0!</v>
      </c>
      <c r="S70" s="331"/>
      <c r="T70" s="108" t="e">
        <f t="shared" si="81"/>
        <v>#DIV/0!</v>
      </c>
      <c r="U70" s="331"/>
      <c r="V70" s="108" t="e">
        <f t="shared" si="81"/>
        <v>#DIV/0!</v>
      </c>
      <c r="W70" s="331"/>
      <c r="X70" s="108" t="e">
        <f t="shared" si="81"/>
        <v>#DIV/0!</v>
      </c>
      <c r="Y70" s="331"/>
      <c r="Z70" s="108" t="e">
        <f t="shared" si="81"/>
        <v>#DIV/0!</v>
      </c>
      <c r="AA70" s="105">
        <f t="shared" si="47"/>
        <v>0</v>
      </c>
      <c r="AB70" s="108" t="e">
        <f t="shared" si="81"/>
        <v>#DIV/0!</v>
      </c>
      <c r="AC70" s="89">
        <f t="shared" ref="AC70:AC142" si="91">AA70/12</f>
        <v>0</v>
      </c>
      <c r="AD70" s="108" t="e">
        <f t="shared" si="81"/>
        <v>#DIV/0!</v>
      </c>
      <c r="AE70" s="214"/>
      <c r="AF70" s="54"/>
      <c r="AH70" s="21"/>
    </row>
    <row r="71" spans="1:35" s="289" customFormat="1">
      <c r="A71" s="2">
        <v>6132</v>
      </c>
      <c r="B71" s="2" t="s">
        <v>225</v>
      </c>
      <c r="C71" s="331"/>
      <c r="D71" s="108" t="e">
        <f t="shared" si="81"/>
        <v>#DIV/0!</v>
      </c>
      <c r="E71" s="331"/>
      <c r="F71" s="108" t="e">
        <f t="shared" si="81"/>
        <v>#DIV/0!</v>
      </c>
      <c r="G71" s="331"/>
      <c r="H71" s="108" t="e">
        <f t="shared" si="81"/>
        <v>#DIV/0!</v>
      </c>
      <c r="I71" s="331"/>
      <c r="J71" s="108" t="e">
        <f t="shared" si="81"/>
        <v>#DIV/0!</v>
      </c>
      <c r="K71" s="331"/>
      <c r="L71" s="108" t="e">
        <f t="shared" si="81"/>
        <v>#DIV/0!</v>
      </c>
      <c r="M71" s="331"/>
      <c r="N71" s="108" t="e">
        <f t="shared" si="81"/>
        <v>#DIV/0!</v>
      </c>
      <c r="O71" s="331"/>
      <c r="P71" s="108" t="e">
        <f t="shared" si="81"/>
        <v>#DIV/0!</v>
      </c>
      <c r="Q71" s="331"/>
      <c r="R71" s="108" t="e">
        <f t="shared" si="81"/>
        <v>#DIV/0!</v>
      </c>
      <c r="S71" s="331"/>
      <c r="T71" s="108" t="e">
        <f t="shared" si="81"/>
        <v>#DIV/0!</v>
      </c>
      <c r="U71" s="331"/>
      <c r="V71" s="108" t="e">
        <f t="shared" si="81"/>
        <v>#DIV/0!</v>
      </c>
      <c r="W71" s="331"/>
      <c r="X71" s="108" t="e">
        <f t="shared" si="81"/>
        <v>#DIV/0!</v>
      </c>
      <c r="Y71" s="331"/>
      <c r="Z71" s="108" t="e">
        <f t="shared" si="81"/>
        <v>#DIV/0!</v>
      </c>
      <c r="AA71" s="105">
        <f t="shared" si="47"/>
        <v>0</v>
      </c>
      <c r="AB71" s="108" t="e">
        <f t="shared" si="81"/>
        <v>#DIV/0!</v>
      </c>
      <c r="AC71" s="89">
        <f t="shared" si="91"/>
        <v>0</v>
      </c>
      <c r="AD71" s="108" t="e">
        <f t="shared" si="81"/>
        <v>#DIV/0!</v>
      </c>
      <c r="AE71" s="214"/>
      <c r="AF71" s="54"/>
      <c r="AH71" s="21"/>
    </row>
    <row r="72" spans="1:35" s="289" customFormat="1">
      <c r="A72" s="2">
        <v>6133</v>
      </c>
      <c r="B72" s="2" t="s">
        <v>226</v>
      </c>
      <c r="C72" s="331"/>
      <c r="D72" s="108" t="e">
        <f t="shared" si="81"/>
        <v>#DIV/0!</v>
      </c>
      <c r="E72" s="331"/>
      <c r="F72" s="108" t="e">
        <f t="shared" si="81"/>
        <v>#DIV/0!</v>
      </c>
      <c r="G72" s="331"/>
      <c r="H72" s="108" t="e">
        <f t="shared" si="81"/>
        <v>#DIV/0!</v>
      </c>
      <c r="I72" s="331"/>
      <c r="J72" s="108" t="e">
        <f t="shared" si="81"/>
        <v>#DIV/0!</v>
      </c>
      <c r="K72" s="331"/>
      <c r="L72" s="108" t="e">
        <f t="shared" si="81"/>
        <v>#DIV/0!</v>
      </c>
      <c r="M72" s="331"/>
      <c r="N72" s="108" t="e">
        <f t="shared" si="81"/>
        <v>#DIV/0!</v>
      </c>
      <c r="O72" s="331"/>
      <c r="P72" s="108" t="e">
        <f t="shared" si="81"/>
        <v>#DIV/0!</v>
      </c>
      <c r="Q72" s="331"/>
      <c r="R72" s="108" t="e">
        <f t="shared" si="81"/>
        <v>#DIV/0!</v>
      </c>
      <c r="S72" s="331"/>
      <c r="T72" s="108" t="e">
        <f t="shared" si="81"/>
        <v>#DIV/0!</v>
      </c>
      <c r="U72" s="331"/>
      <c r="V72" s="108" t="e">
        <f t="shared" si="81"/>
        <v>#DIV/0!</v>
      </c>
      <c r="W72" s="331"/>
      <c r="X72" s="108" t="e">
        <f t="shared" si="81"/>
        <v>#DIV/0!</v>
      </c>
      <c r="Y72" s="331"/>
      <c r="Z72" s="108" t="e">
        <f t="shared" si="81"/>
        <v>#DIV/0!</v>
      </c>
      <c r="AA72" s="105">
        <f t="shared" si="47"/>
        <v>0</v>
      </c>
      <c r="AB72" s="108" t="e">
        <f t="shared" si="81"/>
        <v>#DIV/0!</v>
      </c>
      <c r="AC72" s="89">
        <f t="shared" si="91"/>
        <v>0</v>
      </c>
      <c r="AD72" s="108" t="e">
        <f t="shared" si="81"/>
        <v>#DIV/0!</v>
      </c>
      <c r="AE72" s="214"/>
      <c r="AF72" s="54"/>
      <c r="AH72" s="21"/>
    </row>
    <row r="73" spans="1:35" s="289" customFormat="1">
      <c r="A73" s="2">
        <v>6134</v>
      </c>
      <c r="B73" s="2" t="s">
        <v>227</v>
      </c>
      <c r="C73" s="331"/>
      <c r="D73" s="108" t="e">
        <f t="shared" si="81"/>
        <v>#DIV/0!</v>
      </c>
      <c r="E73" s="331"/>
      <c r="F73" s="108" t="e">
        <f t="shared" si="81"/>
        <v>#DIV/0!</v>
      </c>
      <c r="G73" s="331"/>
      <c r="H73" s="108" t="e">
        <f t="shared" si="81"/>
        <v>#DIV/0!</v>
      </c>
      <c r="I73" s="331"/>
      <c r="J73" s="108" t="e">
        <f t="shared" si="81"/>
        <v>#DIV/0!</v>
      </c>
      <c r="K73" s="331"/>
      <c r="L73" s="108" t="e">
        <f t="shared" si="81"/>
        <v>#DIV/0!</v>
      </c>
      <c r="M73" s="331"/>
      <c r="N73" s="108" t="e">
        <f t="shared" si="81"/>
        <v>#DIV/0!</v>
      </c>
      <c r="O73" s="331"/>
      <c r="P73" s="108" t="e">
        <f t="shared" si="81"/>
        <v>#DIV/0!</v>
      </c>
      <c r="Q73" s="331"/>
      <c r="R73" s="108" t="e">
        <f t="shared" si="81"/>
        <v>#DIV/0!</v>
      </c>
      <c r="S73" s="331"/>
      <c r="T73" s="108" t="e">
        <f t="shared" si="81"/>
        <v>#DIV/0!</v>
      </c>
      <c r="U73" s="331"/>
      <c r="V73" s="108" t="e">
        <f t="shared" si="81"/>
        <v>#DIV/0!</v>
      </c>
      <c r="W73" s="331"/>
      <c r="X73" s="108" t="e">
        <f t="shared" si="81"/>
        <v>#DIV/0!</v>
      </c>
      <c r="Y73" s="331"/>
      <c r="Z73" s="108" t="e">
        <f t="shared" si="81"/>
        <v>#DIV/0!</v>
      </c>
      <c r="AA73" s="105">
        <f t="shared" si="47"/>
        <v>0</v>
      </c>
      <c r="AB73" s="108" t="e">
        <f t="shared" si="81"/>
        <v>#DIV/0!</v>
      </c>
      <c r="AC73" s="89">
        <f t="shared" si="91"/>
        <v>0</v>
      </c>
      <c r="AD73" s="108" t="e">
        <f t="shared" si="81"/>
        <v>#DIV/0!</v>
      </c>
      <c r="AE73" s="214"/>
      <c r="AF73" s="54"/>
      <c r="AH73" s="21"/>
    </row>
    <row r="74" spans="1:35" s="289" customFormat="1">
      <c r="A74" s="2">
        <v>6135</v>
      </c>
      <c r="B74" s="2" t="s">
        <v>228</v>
      </c>
      <c r="C74" s="331"/>
      <c r="D74" s="108" t="e">
        <f t="shared" si="81"/>
        <v>#DIV/0!</v>
      </c>
      <c r="E74" s="331"/>
      <c r="F74" s="108"/>
      <c r="G74" s="331"/>
      <c r="H74" s="108"/>
      <c r="I74" s="331"/>
      <c r="J74" s="108"/>
      <c r="K74" s="331"/>
      <c r="L74" s="108"/>
      <c r="M74" s="331"/>
      <c r="N74" s="108"/>
      <c r="O74" s="331"/>
      <c r="P74" s="108"/>
      <c r="Q74" s="331"/>
      <c r="R74" s="108"/>
      <c r="S74" s="331"/>
      <c r="T74" s="108"/>
      <c r="U74" s="331"/>
      <c r="V74" s="108"/>
      <c r="W74" s="331"/>
      <c r="X74" s="108"/>
      <c r="Y74" s="331"/>
      <c r="Z74" s="108"/>
      <c r="AA74" s="105">
        <f t="shared" si="47"/>
        <v>0</v>
      </c>
      <c r="AB74" s="108"/>
      <c r="AC74" s="89"/>
      <c r="AD74" s="108"/>
      <c r="AE74" s="214"/>
      <c r="AF74" s="54"/>
      <c r="AH74" s="21"/>
    </row>
    <row r="75" spans="1:35" s="289" customFormat="1">
      <c r="A75" s="2">
        <v>6136</v>
      </c>
      <c r="B75" s="2" t="s">
        <v>249</v>
      </c>
      <c r="C75" s="331"/>
      <c r="D75" s="108" t="e">
        <f t="shared" ref="D75:Z75" si="92">C75/C$12</f>
        <v>#DIV/0!</v>
      </c>
      <c r="E75" s="331"/>
      <c r="F75" s="108" t="e">
        <f t="shared" si="92"/>
        <v>#DIV/0!</v>
      </c>
      <c r="G75" s="331"/>
      <c r="H75" s="108" t="e">
        <f t="shared" si="92"/>
        <v>#DIV/0!</v>
      </c>
      <c r="I75" s="331"/>
      <c r="J75" s="108" t="e">
        <f t="shared" si="92"/>
        <v>#DIV/0!</v>
      </c>
      <c r="K75" s="331"/>
      <c r="L75" s="108" t="e">
        <f t="shared" si="92"/>
        <v>#DIV/0!</v>
      </c>
      <c r="M75" s="331"/>
      <c r="N75" s="108" t="e">
        <f t="shared" si="92"/>
        <v>#DIV/0!</v>
      </c>
      <c r="O75" s="331"/>
      <c r="P75" s="108" t="e">
        <f t="shared" si="92"/>
        <v>#DIV/0!</v>
      </c>
      <c r="Q75" s="331"/>
      <c r="R75" s="108" t="e">
        <f t="shared" si="92"/>
        <v>#DIV/0!</v>
      </c>
      <c r="S75" s="331"/>
      <c r="T75" s="108" t="e">
        <f t="shared" si="92"/>
        <v>#DIV/0!</v>
      </c>
      <c r="U75" s="331"/>
      <c r="V75" s="108" t="e">
        <f t="shared" si="92"/>
        <v>#DIV/0!</v>
      </c>
      <c r="W75" s="331"/>
      <c r="X75" s="108" t="e">
        <f t="shared" si="92"/>
        <v>#DIV/0!</v>
      </c>
      <c r="Y75" s="331"/>
      <c r="Z75" s="108" t="e">
        <f t="shared" si="92"/>
        <v>#DIV/0!</v>
      </c>
      <c r="AA75" s="105">
        <f t="shared" si="47"/>
        <v>0</v>
      </c>
      <c r="AB75" s="108" t="e">
        <f t="shared" si="81"/>
        <v>#DIV/0!</v>
      </c>
      <c r="AC75" s="89">
        <f t="shared" si="91"/>
        <v>0</v>
      </c>
      <c r="AD75" s="108" t="e">
        <f t="shared" si="81"/>
        <v>#DIV/0!</v>
      </c>
      <c r="AE75" s="214"/>
      <c r="AF75" s="54"/>
      <c r="AH75" s="21"/>
    </row>
    <row r="76" spans="1:35" s="289" customFormat="1" ht="15.75" thickBot="1">
      <c r="A76" s="4">
        <v>6199</v>
      </c>
      <c r="B76" s="4" t="s">
        <v>23</v>
      </c>
      <c r="C76" s="22">
        <f>SUM(C42:C75)</f>
        <v>0</v>
      </c>
      <c r="D76" s="71" t="e">
        <f>C76/C12</f>
        <v>#DIV/0!</v>
      </c>
      <c r="E76" s="22">
        <f>SUM(E42:E75)</f>
        <v>0</v>
      </c>
      <c r="F76" s="71" t="e">
        <f>E76/E12</f>
        <v>#DIV/0!</v>
      </c>
      <c r="G76" s="22">
        <f>SUM(G42:G75)</f>
        <v>0</v>
      </c>
      <c r="H76" s="71" t="e">
        <f>G76/G12</f>
        <v>#DIV/0!</v>
      </c>
      <c r="I76" s="22">
        <f>SUM(I42:I75)</f>
        <v>0</v>
      </c>
      <c r="J76" s="71" t="e">
        <f>I76/I12</f>
        <v>#DIV/0!</v>
      </c>
      <c r="K76" s="22">
        <f>SUM(K42:K75)</f>
        <v>0</v>
      </c>
      <c r="L76" s="71" t="e">
        <f>K76/K12</f>
        <v>#DIV/0!</v>
      </c>
      <c r="M76" s="22">
        <f>SUM(M42:M75)</f>
        <v>0</v>
      </c>
      <c r="N76" s="71" t="e">
        <f>M76/M12</f>
        <v>#DIV/0!</v>
      </c>
      <c r="O76" s="22">
        <f>SUM(O42:O75)</f>
        <v>0</v>
      </c>
      <c r="P76" s="71" t="e">
        <f>O76/O12</f>
        <v>#DIV/0!</v>
      </c>
      <c r="Q76" s="22">
        <f>SUM(Q42:Q75)</f>
        <v>0</v>
      </c>
      <c r="R76" s="71" t="e">
        <f>Q76/Q12</f>
        <v>#DIV/0!</v>
      </c>
      <c r="S76" s="22">
        <f>SUM(S42:S75)</f>
        <v>0</v>
      </c>
      <c r="T76" s="71" t="e">
        <f>S76/S12</f>
        <v>#DIV/0!</v>
      </c>
      <c r="U76" s="22">
        <f>SUM(U42:U75)</f>
        <v>0</v>
      </c>
      <c r="V76" s="71" t="e">
        <f>U76/U12</f>
        <v>#DIV/0!</v>
      </c>
      <c r="W76" s="22">
        <f>SUM(W42:W75)</f>
        <v>0</v>
      </c>
      <c r="X76" s="71" t="e">
        <f>W76/W12</f>
        <v>#DIV/0!</v>
      </c>
      <c r="Y76" s="22">
        <f>SUM(Y42:Y75)</f>
        <v>0</v>
      </c>
      <c r="Z76" s="71" t="e">
        <f>Y76/Y12</f>
        <v>#DIV/0!</v>
      </c>
      <c r="AA76" s="22">
        <f>SUM(AA42:AA75)</f>
        <v>0</v>
      </c>
      <c r="AB76" s="71" t="e">
        <f>AA76/AA12</f>
        <v>#DIV/0!</v>
      </c>
      <c r="AC76" s="22">
        <f t="shared" si="91"/>
        <v>0</v>
      </c>
      <c r="AD76" s="71" t="e">
        <f>AC76/AC12</f>
        <v>#DIV/0!</v>
      </c>
      <c r="AE76" s="218"/>
      <c r="AF76" s="219"/>
      <c r="AG76" s="209"/>
      <c r="AH76" s="21">
        <f t="shared" ref="AH76:AH147" si="93">Q76*5.09</f>
        <v>0</v>
      </c>
    </row>
    <row r="77" spans="1:35" s="289" customFormat="1" ht="15.75" thickTop="1">
      <c r="A77" s="2">
        <v>6201</v>
      </c>
      <c r="B77" s="2" t="s">
        <v>24</v>
      </c>
      <c r="C77" s="37"/>
      <c r="D77" s="49" t="e">
        <f t="shared" ref="D77:D92" si="94">C77/C$12</f>
        <v>#DIV/0!</v>
      </c>
      <c r="E77" s="37"/>
      <c r="F77" s="49" t="e">
        <f t="shared" ref="F77:F92" si="95">E77/E$12</f>
        <v>#DIV/0!</v>
      </c>
      <c r="G77" s="37"/>
      <c r="H77" s="49" t="e">
        <f t="shared" ref="H77:H92" si="96">G77/G$12</f>
        <v>#DIV/0!</v>
      </c>
      <c r="I77" s="37"/>
      <c r="J77" s="49" t="e">
        <f t="shared" ref="J77:J92" si="97">I77/I$12</f>
        <v>#DIV/0!</v>
      </c>
      <c r="K77" s="37"/>
      <c r="L77" s="49" t="e">
        <f t="shared" ref="L77:L92" si="98">K77/K$12</f>
        <v>#DIV/0!</v>
      </c>
      <c r="M77" s="37"/>
      <c r="N77" s="49" t="e">
        <f t="shared" ref="N77:N92" si="99">M77/M$12</f>
        <v>#DIV/0!</v>
      </c>
      <c r="O77" s="37"/>
      <c r="P77" s="49" t="e">
        <f t="shared" ref="P77:P92" si="100">O77/O$12</f>
        <v>#DIV/0!</v>
      </c>
      <c r="Q77" s="37"/>
      <c r="R77" s="49" t="e">
        <f t="shared" ref="R77:R92" si="101">Q77/Q$12</f>
        <v>#DIV/0!</v>
      </c>
      <c r="S77" s="37"/>
      <c r="T77" s="49" t="e">
        <f t="shared" si="87"/>
        <v>#DIV/0!</v>
      </c>
      <c r="U77" s="37"/>
      <c r="V77" s="49" t="e">
        <f t="shared" ref="V77:V92" si="102">U77/U$12</f>
        <v>#DIV/0!</v>
      </c>
      <c r="W77" s="37"/>
      <c r="X77" s="49" t="e">
        <f t="shared" ref="X77:X92" si="103">W77/W$12</f>
        <v>#DIV/0!</v>
      </c>
      <c r="Y77" s="37"/>
      <c r="Z77" s="49" t="e">
        <f t="shared" si="90"/>
        <v>#DIV/0!</v>
      </c>
      <c r="AA77" s="105">
        <f t="shared" ref="AA77:AA92" si="104">C77+E77+G77+I77+K77+M77+O77+Q77+S77+U77+W77+Y77</f>
        <v>0</v>
      </c>
      <c r="AB77" s="108" t="e">
        <f t="shared" si="41"/>
        <v>#DIV/0!</v>
      </c>
      <c r="AC77" s="89">
        <f t="shared" si="91"/>
        <v>0</v>
      </c>
      <c r="AD77" s="92" t="e">
        <f t="shared" si="42"/>
        <v>#DIV/0!</v>
      </c>
      <c r="AE77" s="214"/>
      <c r="AF77" s="54"/>
      <c r="AH77" s="21">
        <f t="shared" si="93"/>
        <v>0</v>
      </c>
    </row>
    <row r="78" spans="1:35" s="289" customFormat="1">
      <c r="A78" s="2">
        <v>6202</v>
      </c>
      <c r="B78" s="2" t="s">
        <v>25</v>
      </c>
      <c r="C78" s="37"/>
      <c r="D78" s="49" t="e">
        <f t="shared" si="94"/>
        <v>#DIV/0!</v>
      </c>
      <c r="E78" s="37"/>
      <c r="F78" s="49" t="e">
        <f t="shared" si="95"/>
        <v>#DIV/0!</v>
      </c>
      <c r="G78" s="37"/>
      <c r="H78" s="49" t="e">
        <f t="shared" si="96"/>
        <v>#DIV/0!</v>
      </c>
      <c r="I78" s="37"/>
      <c r="J78" s="49" t="e">
        <f t="shared" si="97"/>
        <v>#DIV/0!</v>
      </c>
      <c r="K78" s="37"/>
      <c r="L78" s="49" t="e">
        <f t="shared" si="98"/>
        <v>#DIV/0!</v>
      </c>
      <c r="M78" s="37"/>
      <c r="N78" s="49" t="e">
        <f t="shared" si="99"/>
        <v>#DIV/0!</v>
      </c>
      <c r="O78" s="37"/>
      <c r="P78" s="49" t="e">
        <f t="shared" si="100"/>
        <v>#DIV/0!</v>
      </c>
      <c r="Q78" s="37"/>
      <c r="R78" s="49" t="e">
        <f t="shared" si="101"/>
        <v>#DIV/0!</v>
      </c>
      <c r="S78" s="37"/>
      <c r="T78" s="49" t="e">
        <f t="shared" si="87"/>
        <v>#DIV/0!</v>
      </c>
      <c r="U78" s="37"/>
      <c r="V78" s="49" t="e">
        <f t="shared" si="102"/>
        <v>#DIV/0!</v>
      </c>
      <c r="W78" s="37"/>
      <c r="X78" s="49" t="e">
        <f t="shared" si="103"/>
        <v>#DIV/0!</v>
      </c>
      <c r="Y78" s="37"/>
      <c r="Z78" s="49" t="e">
        <f t="shared" si="90"/>
        <v>#DIV/0!</v>
      </c>
      <c r="AA78" s="105">
        <f t="shared" si="104"/>
        <v>0</v>
      </c>
      <c r="AB78" s="108" t="e">
        <f t="shared" si="41"/>
        <v>#DIV/0!</v>
      </c>
      <c r="AC78" s="89">
        <f t="shared" si="91"/>
        <v>0</v>
      </c>
      <c r="AD78" s="92" t="e">
        <f t="shared" si="42"/>
        <v>#DIV/0!</v>
      </c>
      <c r="AE78" s="214"/>
      <c r="AF78" s="54"/>
      <c r="AH78" s="21">
        <f t="shared" si="93"/>
        <v>0</v>
      </c>
    </row>
    <row r="79" spans="1:35" s="289" customFormat="1">
      <c r="A79" s="2">
        <v>6203</v>
      </c>
      <c r="B79" s="2" t="s">
        <v>26</v>
      </c>
      <c r="C79" s="37"/>
      <c r="D79" s="49" t="e">
        <f t="shared" si="94"/>
        <v>#DIV/0!</v>
      </c>
      <c r="E79" s="37"/>
      <c r="F79" s="49" t="e">
        <f t="shared" si="95"/>
        <v>#DIV/0!</v>
      </c>
      <c r="G79" s="37"/>
      <c r="H79" s="49" t="e">
        <f t="shared" si="96"/>
        <v>#DIV/0!</v>
      </c>
      <c r="I79" s="37"/>
      <c r="J79" s="49" t="e">
        <f t="shared" si="97"/>
        <v>#DIV/0!</v>
      </c>
      <c r="K79" s="37"/>
      <c r="L79" s="49" t="e">
        <f t="shared" si="98"/>
        <v>#DIV/0!</v>
      </c>
      <c r="M79" s="37"/>
      <c r="N79" s="49" t="e">
        <f t="shared" si="99"/>
        <v>#DIV/0!</v>
      </c>
      <c r="O79" s="37"/>
      <c r="P79" s="49" t="e">
        <f t="shared" si="100"/>
        <v>#DIV/0!</v>
      </c>
      <c r="Q79" s="37"/>
      <c r="R79" s="49" t="e">
        <f t="shared" si="101"/>
        <v>#DIV/0!</v>
      </c>
      <c r="S79" s="37"/>
      <c r="T79" s="49" t="e">
        <f t="shared" si="87"/>
        <v>#DIV/0!</v>
      </c>
      <c r="U79" s="37"/>
      <c r="V79" s="49" t="e">
        <f t="shared" si="102"/>
        <v>#DIV/0!</v>
      </c>
      <c r="W79" s="37"/>
      <c r="X79" s="49" t="e">
        <f t="shared" si="103"/>
        <v>#DIV/0!</v>
      </c>
      <c r="Y79" s="37"/>
      <c r="Z79" s="49" t="e">
        <f t="shared" si="90"/>
        <v>#DIV/0!</v>
      </c>
      <c r="AA79" s="105">
        <f t="shared" si="104"/>
        <v>0</v>
      </c>
      <c r="AB79" s="108" t="e">
        <f t="shared" si="41"/>
        <v>#DIV/0!</v>
      </c>
      <c r="AC79" s="89">
        <f t="shared" si="91"/>
        <v>0</v>
      </c>
      <c r="AD79" s="92" t="e">
        <f t="shared" si="42"/>
        <v>#DIV/0!</v>
      </c>
      <c r="AE79" s="214"/>
      <c r="AF79" s="54"/>
      <c r="AH79" s="21">
        <f t="shared" si="93"/>
        <v>0</v>
      </c>
    </row>
    <row r="80" spans="1:35" s="289" customFormat="1">
      <c r="A80" s="2">
        <v>6204</v>
      </c>
      <c r="B80" s="2" t="s">
        <v>27</v>
      </c>
      <c r="C80" s="46"/>
      <c r="D80" s="49" t="e">
        <f t="shared" si="94"/>
        <v>#DIV/0!</v>
      </c>
      <c r="E80" s="46"/>
      <c r="F80" s="49" t="e">
        <f t="shared" si="95"/>
        <v>#DIV/0!</v>
      </c>
      <c r="G80" s="46"/>
      <c r="H80" s="49" t="e">
        <f t="shared" si="96"/>
        <v>#DIV/0!</v>
      </c>
      <c r="I80" s="46"/>
      <c r="J80" s="49" t="e">
        <f t="shared" si="97"/>
        <v>#DIV/0!</v>
      </c>
      <c r="K80" s="46"/>
      <c r="L80" s="49" t="e">
        <f t="shared" si="98"/>
        <v>#DIV/0!</v>
      </c>
      <c r="M80" s="46"/>
      <c r="N80" s="49" t="e">
        <f t="shared" si="99"/>
        <v>#DIV/0!</v>
      </c>
      <c r="O80" s="46"/>
      <c r="P80" s="49" t="e">
        <f t="shared" si="100"/>
        <v>#DIV/0!</v>
      </c>
      <c r="Q80" s="46"/>
      <c r="R80" s="49" t="e">
        <f t="shared" si="101"/>
        <v>#DIV/0!</v>
      </c>
      <c r="S80" s="46"/>
      <c r="T80" s="49" t="e">
        <f t="shared" si="87"/>
        <v>#DIV/0!</v>
      </c>
      <c r="U80" s="46"/>
      <c r="V80" s="49" t="e">
        <f t="shared" si="102"/>
        <v>#DIV/0!</v>
      </c>
      <c r="W80" s="46"/>
      <c r="X80" s="49" t="e">
        <f t="shared" si="103"/>
        <v>#DIV/0!</v>
      </c>
      <c r="Y80" s="46"/>
      <c r="Z80" s="49" t="e">
        <f t="shared" si="90"/>
        <v>#DIV/0!</v>
      </c>
      <c r="AA80" s="105">
        <f t="shared" si="104"/>
        <v>0</v>
      </c>
      <c r="AB80" s="108" t="e">
        <f t="shared" si="41"/>
        <v>#DIV/0!</v>
      </c>
      <c r="AC80" s="89">
        <f t="shared" si="91"/>
        <v>0</v>
      </c>
      <c r="AD80" s="92" t="e">
        <f t="shared" si="42"/>
        <v>#DIV/0!</v>
      </c>
      <c r="AE80" s="214"/>
      <c r="AF80" s="54"/>
      <c r="AH80" s="21">
        <f t="shared" si="93"/>
        <v>0</v>
      </c>
    </row>
    <row r="81" spans="1:34" s="289" customFormat="1">
      <c r="A81" s="2">
        <v>6205</v>
      </c>
      <c r="B81" s="2" t="s">
        <v>28</v>
      </c>
      <c r="C81" s="46"/>
      <c r="D81" s="49" t="e">
        <f t="shared" si="94"/>
        <v>#DIV/0!</v>
      </c>
      <c r="E81" s="46"/>
      <c r="F81" s="49" t="e">
        <f t="shared" si="95"/>
        <v>#DIV/0!</v>
      </c>
      <c r="G81" s="46"/>
      <c r="H81" s="49" t="e">
        <f t="shared" si="96"/>
        <v>#DIV/0!</v>
      </c>
      <c r="I81" s="46"/>
      <c r="J81" s="49" t="e">
        <f t="shared" si="97"/>
        <v>#DIV/0!</v>
      </c>
      <c r="K81" s="46"/>
      <c r="L81" s="49" t="e">
        <f t="shared" si="98"/>
        <v>#DIV/0!</v>
      </c>
      <c r="M81" s="46"/>
      <c r="N81" s="49" t="e">
        <f t="shared" si="99"/>
        <v>#DIV/0!</v>
      </c>
      <c r="O81" s="46"/>
      <c r="P81" s="49" t="e">
        <f t="shared" si="100"/>
        <v>#DIV/0!</v>
      </c>
      <c r="Q81" s="46"/>
      <c r="R81" s="49" t="e">
        <f t="shared" si="101"/>
        <v>#DIV/0!</v>
      </c>
      <c r="S81" s="46"/>
      <c r="T81" s="49" t="e">
        <f t="shared" si="87"/>
        <v>#DIV/0!</v>
      </c>
      <c r="U81" s="46"/>
      <c r="V81" s="49" t="e">
        <f t="shared" si="102"/>
        <v>#DIV/0!</v>
      </c>
      <c r="W81" s="46"/>
      <c r="X81" s="49" t="e">
        <f t="shared" si="103"/>
        <v>#DIV/0!</v>
      </c>
      <c r="Y81" s="46"/>
      <c r="Z81" s="49" t="e">
        <f t="shared" si="90"/>
        <v>#DIV/0!</v>
      </c>
      <c r="AA81" s="105">
        <f t="shared" si="104"/>
        <v>0</v>
      </c>
      <c r="AB81" s="108" t="e">
        <f t="shared" si="41"/>
        <v>#DIV/0!</v>
      </c>
      <c r="AC81" s="89">
        <f t="shared" si="91"/>
        <v>0</v>
      </c>
      <c r="AD81" s="92" t="e">
        <f t="shared" si="42"/>
        <v>#DIV/0!</v>
      </c>
      <c r="AE81" s="214"/>
      <c r="AF81" s="54"/>
      <c r="AH81" s="21">
        <f t="shared" si="93"/>
        <v>0</v>
      </c>
    </row>
    <row r="82" spans="1:34" s="289" customFormat="1">
      <c r="A82" s="2">
        <v>6206</v>
      </c>
      <c r="B82" s="2" t="s">
        <v>193</v>
      </c>
      <c r="C82" s="46"/>
      <c r="D82" s="49" t="e">
        <f t="shared" si="94"/>
        <v>#DIV/0!</v>
      </c>
      <c r="E82" s="46"/>
      <c r="F82" s="49" t="e">
        <f t="shared" si="95"/>
        <v>#DIV/0!</v>
      </c>
      <c r="G82" s="46"/>
      <c r="H82" s="49" t="e">
        <f t="shared" si="96"/>
        <v>#DIV/0!</v>
      </c>
      <c r="I82" s="46"/>
      <c r="J82" s="49" t="e">
        <f t="shared" si="97"/>
        <v>#DIV/0!</v>
      </c>
      <c r="K82" s="46"/>
      <c r="L82" s="49" t="e">
        <f t="shared" si="98"/>
        <v>#DIV/0!</v>
      </c>
      <c r="M82" s="46"/>
      <c r="N82" s="49" t="e">
        <f t="shared" si="99"/>
        <v>#DIV/0!</v>
      </c>
      <c r="O82" s="46"/>
      <c r="P82" s="49" t="e">
        <f t="shared" si="100"/>
        <v>#DIV/0!</v>
      </c>
      <c r="Q82" s="46"/>
      <c r="R82" s="49" t="e">
        <f t="shared" si="101"/>
        <v>#DIV/0!</v>
      </c>
      <c r="S82" s="46"/>
      <c r="T82" s="49" t="e">
        <f t="shared" si="87"/>
        <v>#DIV/0!</v>
      </c>
      <c r="U82" s="46"/>
      <c r="V82" s="49" t="e">
        <f t="shared" si="102"/>
        <v>#DIV/0!</v>
      </c>
      <c r="W82" s="46"/>
      <c r="X82" s="49" t="e">
        <f t="shared" si="103"/>
        <v>#DIV/0!</v>
      </c>
      <c r="Y82" s="46"/>
      <c r="Z82" s="49" t="e">
        <f t="shared" si="90"/>
        <v>#DIV/0!</v>
      </c>
      <c r="AA82" s="105">
        <f t="shared" si="104"/>
        <v>0</v>
      </c>
      <c r="AB82" s="108" t="e">
        <f t="shared" si="41"/>
        <v>#DIV/0!</v>
      </c>
      <c r="AC82" s="89">
        <f t="shared" si="91"/>
        <v>0</v>
      </c>
      <c r="AD82" s="92" t="e">
        <f t="shared" si="42"/>
        <v>#DIV/0!</v>
      </c>
      <c r="AE82" s="309">
        <f>5*200</f>
        <v>1000</v>
      </c>
      <c r="AF82" s="54"/>
      <c r="AH82" s="21">
        <f t="shared" si="93"/>
        <v>0</v>
      </c>
    </row>
    <row r="83" spans="1:34" s="289" customFormat="1">
      <c r="A83" s="2">
        <v>6207</v>
      </c>
      <c r="B83" s="2" t="s">
        <v>194</v>
      </c>
      <c r="C83" s="46"/>
      <c r="D83" s="49" t="e">
        <f t="shared" si="94"/>
        <v>#DIV/0!</v>
      </c>
      <c r="E83" s="46"/>
      <c r="F83" s="49" t="e">
        <f t="shared" si="95"/>
        <v>#DIV/0!</v>
      </c>
      <c r="G83" s="46"/>
      <c r="H83" s="49" t="e">
        <f t="shared" si="96"/>
        <v>#DIV/0!</v>
      </c>
      <c r="I83" s="46"/>
      <c r="J83" s="49" t="e">
        <f t="shared" si="97"/>
        <v>#DIV/0!</v>
      </c>
      <c r="K83" s="46"/>
      <c r="L83" s="49" t="e">
        <f t="shared" si="98"/>
        <v>#DIV/0!</v>
      </c>
      <c r="M83" s="46"/>
      <c r="N83" s="49" t="e">
        <f t="shared" si="99"/>
        <v>#DIV/0!</v>
      </c>
      <c r="O83" s="46"/>
      <c r="P83" s="49" t="e">
        <f t="shared" si="100"/>
        <v>#DIV/0!</v>
      </c>
      <c r="Q83" s="46"/>
      <c r="R83" s="49" t="e">
        <f t="shared" si="101"/>
        <v>#DIV/0!</v>
      </c>
      <c r="S83" s="46"/>
      <c r="T83" s="49" t="e">
        <f t="shared" si="87"/>
        <v>#DIV/0!</v>
      </c>
      <c r="U83" s="46"/>
      <c r="V83" s="49" t="e">
        <f t="shared" si="102"/>
        <v>#DIV/0!</v>
      </c>
      <c r="W83" s="46"/>
      <c r="X83" s="49" t="e">
        <f t="shared" si="103"/>
        <v>#DIV/0!</v>
      </c>
      <c r="Y83" s="46"/>
      <c r="Z83" s="49" t="e">
        <f t="shared" si="90"/>
        <v>#DIV/0!</v>
      </c>
      <c r="AA83" s="105">
        <f t="shared" si="104"/>
        <v>0</v>
      </c>
      <c r="AB83" s="108" t="e">
        <f t="shared" si="41"/>
        <v>#DIV/0!</v>
      </c>
      <c r="AC83" s="89">
        <f t="shared" si="91"/>
        <v>0</v>
      </c>
      <c r="AD83" s="92" t="e">
        <f t="shared" si="42"/>
        <v>#DIV/0!</v>
      </c>
      <c r="AE83" s="214"/>
      <c r="AF83" s="54"/>
      <c r="AH83" s="21">
        <f t="shared" si="93"/>
        <v>0</v>
      </c>
    </row>
    <row r="84" spans="1:34" s="289" customFormat="1">
      <c r="A84" s="2">
        <v>6208</v>
      </c>
      <c r="B84" s="2" t="s">
        <v>195</v>
      </c>
      <c r="C84" s="46"/>
      <c r="D84" s="49" t="e">
        <f t="shared" si="94"/>
        <v>#DIV/0!</v>
      </c>
      <c r="E84" s="46"/>
      <c r="F84" s="49" t="e">
        <f t="shared" si="95"/>
        <v>#DIV/0!</v>
      </c>
      <c r="G84" s="46"/>
      <c r="H84" s="49" t="e">
        <f t="shared" si="96"/>
        <v>#DIV/0!</v>
      </c>
      <c r="I84" s="46"/>
      <c r="J84" s="49" t="e">
        <f t="shared" si="97"/>
        <v>#DIV/0!</v>
      </c>
      <c r="K84" s="46"/>
      <c r="L84" s="49" t="e">
        <f t="shared" si="98"/>
        <v>#DIV/0!</v>
      </c>
      <c r="M84" s="46"/>
      <c r="N84" s="49" t="e">
        <f t="shared" si="99"/>
        <v>#DIV/0!</v>
      </c>
      <c r="O84" s="46"/>
      <c r="P84" s="49" t="e">
        <f t="shared" si="100"/>
        <v>#DIV/0!</v>
      </c>
      <c r="Q84" s="46"/>
      <c r="R84" s="49" t="e">
        <f t="shared" si="101"/>
        <v>#DIV/0!</v>
      </c>
      <c r="S84" s="46"/>
      <c r="T84" s="49" t="e">
        <f t="shared" si="87"/>
        <v>#DIV/0!</v>
      </c>
      <c r="U84" s="46"/>
      <c r="V84" s="49" t="e">
        <f t="shared" si="102"/>
        <v>#DIV/0!</v>
      </c>
      <c r="W84" s="46"/>
      <c r="X84" s="49" t="e">
        <f t="shared" si="103"/>
        <v>#DIV/0!</v>
      </c>
      <c r="Y84" s="46"/>
      <c r="Z84" s="49" t="e">
        <f t="shared" si="90"/>
        <v>#DIV/0!</v>
      </c>
      <c r="AA84" s="105">
        <f t="shared" si="104"/>
        <v>0</v>
      </c>
      <c r="AB84" s="108" t="e">
        <f t="shared" si="41"/>
        <v>#DIV/0!</v>
      </c>
      <c r="AC84" s="89">
        <f t="shared" si="91"/>
        <v>0</v>
      </c>
      <c r="AD84" s="92" t="e">
        <f t="shared" si="42"/>
        <v>#DIV/0!</v>
      </c>
      <c r="AE84" s="214"/>
      <c r="AF84" s="54"/>
      <c r="AH84" s="21">
        <f t="shared" si="93"/>
        <v>0</v>
      </c>
    </row>
    <row r="85" spans="1:34" s="289" customFormat="1">
      <c r="A85" s="2">
        <v>6209</v>
      </c>
      <c r="B85" s="128" t="s">
        <v>29</v>
      </c>
      <c r="C85" s="46"/>
      <c r="D85" s="49" t="e">
        <f t="shared" si="94"/>
        <v>#DIV/0!</v>
      </c>
      <c r="E85" s="46"/>
      <c r="F85" s="49" t="e">
        <f t="shared" si="95"/>
        <v>#DIV/0!</v>
      </c>
      <c r="G85" s="46"/>
      <c r="H85" s="49" t="e">
        <f t="shared" si="96"/>
        <v>#DIV/0!</v>
      </c>
      <c r="I85" s="46"/>
      <c r="J85" s="49" t="e">
        <f t="shared" si="97"/>
        <v>#DIV/0!</v>
      </c>
      <c r="K85" s="46"/>
      <c r="L85" s="49" t="e">
        <f t="shared" si="98"/>
        <v>#DIV/0!</v>
      </c>
      <c r="M85" s="46"/>
      <c r="N85" s="49" t="e">
        <f t="shared" si="99"/>
        <v>#DIV/0!</v>
      </c>
      <c r="O85" s="46"/>
      <c r="P85" s="49" t="e">
        <f t="shared" si="100"/>
        <v>#DIV/0!</v>
      </c>
      <c r="Q85" s="46"/>
      <c r="R85" s="49" t="e">
        <f t="shared" si="101"/>
        <v>#DIV/0!</v>
      </c>
      <c r="S85" s="46"/>
      <c r="T85" s="49" t="e">
        <f t="shared" si="87"/>
        <v>#DIV/0!</v>
      </c>
      <c r="U85" s="46"/>
      <c r="V85" s="49" t="e">
        <f t="shared" si="102"/>
        <v>#DIV/0!</v>
      </c>
      <c r="W85" s="46"/>
      <c r="X85" s="49" t="e">
        <f t="shared" si="103"/>
        <v>#DIV/0!</v>
      </c>
      <c r="Y85" s="46"/>
      <c r="Z85" s="49" t="e">
        <f t="shared" si="90"/>
        <v>#DIV/0!</v>
      </c>
      <c r="AA85" s="105">
        <f t="shared" si="104"/>
        <v>0</v>
      </c>
      <c r="AB85" s="108" t="e">
        <f t="shared" si="41"/>
        <v>#DIV/0!</v>
      </c>
      <c r="AC85" s="89">
        <f t="shared" si="91"/>
        <v>0</v>
      </c>
      <c r="AD85" s="92" t="e">
        <f t="shared" si="42"/>
        <v>#DIV/0!</v>
      </c>
      <c r="AE85" s="214"/>
      <c r="AF85" s="54"/>
      <c r="AH85" s="21">
        <f t="shared" si="93"/>
        <v>0</v>
      </c>
    </row>
    <row r="86" spans="1:34" s="289" customFormat="1">
      <c r="A86" s="2">
        <v>6210</v>
      </c>
      <c r="B86" s="2" t="s">
        <v>30</v>
      </c>
      <c r="C86" s="46"/>
      <c r="D86" s="49" t="e">
        <f t="shared" si="94"/>
        <v>#DIV/0!</v>
      </c>
      <c r="E86" s="46"/>
      <c r="F86" s="49" t="e">
        <f t="shared" si="95"/>
        <v>#DIV/0!</v>
      </c>
      <c r="G86" s="46"/>
      <c r="H86" s="49" t="e">
        <f t="shared" si="96"/>
        <v>#DIV/0!</v>
      </c>
      <c r="I86" s="46"/>
      <c r="J86" s="49" t="e">
        <f t="shared" si="97"/>
        <v>#DIV/0!</v>
      </c>
      <c r="K86" s="46"/>
      <c r="L86" s="49" t="e">
        <f t="shared" si="98"/>
        <v>#DIV/0!</v>
      </c>
      <c r="M86" s="46"/>
      <c r="N86" s="49" t="e">
        <f t="shared" si="99"/>
        <v>#DIV/0!</v>
      </c>
      <c r="O86" s="46"/>
      <c r="P86" s="49" t="e">
        <f t="shared" si="100"/>
        <v>#DIV/0!</v>
      </c>
      <c r="Q86" s="46"/>
      <c r="R86" s="49" t="e">
        <f t="shared" si="101"/>
        <v>#DIV/0!</v>
      </c>
      <c r="S86" s="46"/>
      <c r="T86" s="49" t="e">
        <f t="shared" si="87"/>
        <v>#DIV/0!</v>
      </c>
      <c r="U86" s="46"/>
      <c r="V86" s="49" t="e">
        <f t="shared" si="102"/>
        <v>#DIV/0!</v>
      </c>
      <c r="W86" s="46"/>
      <c r="X86" s="49" t="e">
        <f t="shared" si="103"/>
        <v>#DIV/0!</v>
      </c>
      <c r="Y86" s="46"/>
      <c r="Z86" s="49" t="e">
        <f t="shared" si="90"/>
        <v>#DIV/0!</v>
      </c>
      <c r="AA86" s="105">
        <f t="shared" si="104"/>
        <v>0</v>
      </c>
      <c r="AB86" s="108" t="e">
        <f t="shared" si="41"/>
        <v>#DIV/0!</v>
      </c>
      <c r="AC86" s="89">
        <f t="shared" si="91"/>
        <v>0</v>
      </c>
      <c r="AD86" s="92" t="e">
        <f t="shared" si="42"/>
        <v>#DIV/0!</v>
      </c>
      <c r="AE86" s="214"/>
      <c r="AF86" s="54"/>
      <c r="AH86" s="21">
        <f t="shared" si="93"/>
        <v>0</v>
      </c>
    </row>
    <row r="87" spans="1:34" s="289" customFormat="1">
      <c r="A87" s="2">
        <v>6211</v>
      </c>
      <c r="B87" s="2" t="s">
        <v>31</v>
      </c>
      <c r="C87" s="46"/>
      <c r="D87" s="49" t="e">
        <f t="shared" si="94"/>
        <v>#DIV/0!</v>
      </c>
      <c r="E87" s="46"/>
      <c r="F87" s="49" t="e">
        <f t="shared" si="95"/>
        <v>#DIV/0!</v>
      </c>
      <c r="G87" s="46"/>
      <c r="H87" s="49" t="e">
        <f t="shared" si="96"/>
        <v>#DIV/0!</v>
      </c>
      <c r="I87" s="46"/>
      <c r="J87" s="49" t="e">
        <f t="shared" si="97"/>
        <v>#DIV/0!</v>
      </c>
      <c r="K87" s="46"/>
      <c r="L87" s="49" t="e">
        <f t="shared" si="98"/>
        <v>#DIV/0!</v>
      </c>
      <c r="M87" s="46"/>
      <c r="N87" s="49" t="e">
        <f t="shared" si="99"/>
        <v>#DIV/0!</v>
      </c>
      <c r="O87" s="46"/>
      <c r="P87" s="49" t="e">
        <f t="shared" si="100"/>
        <v>#DIV/0!</v>
      </c>
      <c r="Q87" s="46"/>
      <c r="R87" s="49" t="e">
        <f t="shared" si="101"/>
        <v>#DIV/0!</v>
      </c>
      <c r="S87" s="46"/>
      <c r="T87" s="49" t="e">
        <f t="shared" si="87"/>
        <v>#DIV/0!</v>
      </c>
      <c r="U87" s="46"/>
      <c r="V87" s="49" t="e">
        <f t="shared" si="102"/>
        <v>#DIV/0!</v>
      </c>
      <c r="W87" s="46"/>
      <c r="X87" s="49" t="e">
        <f t="shared" si="103"/>
        <v>#DIV/0!</v>
      </c>
      <c r="Y87" s="46"/>
      <c r="Z87" s="49" t="e">
        <f t="shared" si="90"/>
        <v>#DIV/0!</v>
      </c>
      <c r="AA87" s="105">
        <f t="shared" si="104"/>
        <v>0</v>
      </c>
      <c r="AB87" s="108" t="e">
        <f t="shared" si="41"/>
        <v>#DIV/0!</v>
      </c>
      <c r="AC87" s="89">
        <f t="shared" si="91"/>
        <v>0</v>
      </c>
      <c r="AD87" s="92" t="e">
        <f t="shared" si="42"/>
        <v>#DIV/0!</v>
      </c>
      <c r="AE87" s="214"/>
      <c r="AF87" s="54"/>
      <c r="AH87" s="21">
        <f t="shared" si="93"/>
        <v>0</v>
      </c>
    </row>
    <row r="88" spans="1:34" s="289" customFormat="1">
      <c r="A88" s="2">
        <v>6212</v>
      </c>
      <c r="B88" s="2" t="s">
        <v>32</v>
      </c>
      <c r="C88" s="55"/>
      <c r="D88" s="49" t="e">
        <f t="shared" si="94"/>
        <v>#DIV/0!</v>
      </c>
      <c r="E88" s="55"/>
      <c r="F88" s="49" t="e">
        <f t="shared" si="95"/>
        <v>#DIV/0!</v>
      </c>
      <c r="G88" s="55"/>
      <c r="H88" s="49" t="e">
        <f t="shared" si="96"/>
        <v>#DIV/0!</v>
      </c>
      <c r="I88" s="55"/>
      <c r="J88" s="49" t="e">
        <f t="shared" si="97"/>
        <v>#DIV/0!</v>
      </c>
      <c r="K88" s="55"/>
      <c r="L88" s="49" t="e">
        <f t="shared" si="98"/>
        <v>#DIV/0!</v>
      </c>
      <c r="M88" s="55"/>
      <c r="N88" s="49" t="e">
        <f t="shared" si="99"/>
        <v>#DIV/0!</v>
      </c>
      <c r="O88" s="55"/>
      <c r="P88" s="49" t="e">
        <f t="shared" si="100"/>
        <v>#DIV/0!</v>
      </c>
      <c r="Q88" s="55"/>
      <c r="R88" s="49" t="e">
        <f t="shared" si="101"/>
        <v>#DIV/0!</v>
      </c>
      <c r="S88" s="55"/>
      <c r="T88" s="49" t="e">
        <f t="shared" si="87"/>
        <v>#DIV/0!</v>
      </c>
      <c r="U88" s="55"/>
      <c r="V88" s="49" t="e">
        <f t="shared" si="102"/>
        <v>#DIV/0!</v>
      </c>
      <c r="W88" s="55"/>
      <c r="X88" s="49" t="e">
        <f t="shared" si="103"/>
        <v>#DIV/0!</v>
      </c>
      <c r="Y88" s="55"/>
      <c r="Z88" s="49" t="e">
        <f t="shared" si="90"/>
        <v>#DIV/0!</v>
      </c>
      <c r="AA88" s="105">
        <f t="shared" si="104"/>
        <v>0</v>
      </c>
      <c r="AB88" s="108" t="e">
        <f t="shared" si="41"/>
        <v>#DIV/0!</v>
      </c>
      <c r="AC88" s="290">
        <f t="shared" si="91"/>
        <v>0</v>
      </c>
      <c r="AD88" s="92" t="e">
        <f t="shared" si="42"/>
        <v>#DIV/0!</v>
      </c>
      <c r="AE88" s="214"/>
      <c r="AF88" s="54"/>
      <c r="AH88" s="21">
        <f t="shared" si="93"/>
        <v>0</v>
      </c>
    </row>
    <row r="89" spans="1:34" s="289" customFormat="1">
      <c r="A89" s="2">
        <v>6213</v>
      </c>
      <c r="B89" s="2" t="s">
        <v>33</v>
      </c>
      <c r="C89" s="55"/>
      <c r="D89" s="49" t="e">
        <f t="shared" si="94"/>
        <v>#DIV/0!</v>
      </c>
      <c r="E89" s="55"/>
      <c r="F89" s="49" t="e">
        <f t="shared" si="95"/>
        <v>#DIV/0!</v>
      </c>
      <c r="G89" s="55"/>
      <c r="H89" s="49" t="e">
        <f t="shared" si="96"/>
        <v>#DIV/0!</v>
      </c>
      <c r="I89" s="55"/>
      <c r="J89" s="49" t="e">
        <f t="shared" si="97"/>
        <v>#DIV/0!</v>
      </c>
      <c r="K89" s="55"/>
      <c r="L89" s="49" t="e">
        <f t="shared" si="98"/>
        <v>#DIV/0!</v>
      </c>
      <c r="M89" s="55"/>
      <c r="N89" s="49" t="e">
        <f t="shared" si="99"/>
        <v>#DIV/0!</v>
      </c>
      <c r="O89" s="55"/>
      <c r="P89" s="49" t="e">
        <f t="shared" si="100"/>
        <v>#DIV/0!</v>
      </c>
      <c r="Q89" s="55"/>
      <c r="R89" s="49" t="e">
        <f t="shared" si="101"/>
        <v>#DIV/0!</v>
      </c>
      <c r="S89" s="55"/>
      <c r="T89" s="49" t="e">
        <f t="shared" si="87"/>
        <v>#DIV/0!</v>
      </c>
      <c r="U89" s="55"/>
      <c r="V89" s="49" t="e">
        <f t="shared" si="102"/>
        <v>#DIV/0!</v>
      </c>
      <c r="W89" s="55"/>
      <c r="X89" s="49" t="e">
        <f t="shared" si="103"/>
        <v>#DIV/0!</v>
      </c>
      <c r="Y89" s="55"/>
      <c r="Z89" s="49" t="e">
        <f t="shared" si="90"/>
        <v>#DIV/0!</v>
      </c>
      <c r="AA89" s="105">
        <f t="shared" si="104"/>
        <v>0</v>
      </c>
      <c r="AB89" s="108" t="e">
        <f t="shared" si="41"/>
        <v>#DIV/0!</v>
      </c>
      <c r="AC89" s="89">
        <f t="shared" si="91"/>
        <v>0</v>
      </c>
      <c r="AD89" s="92" t="e">
        <f t="shared" si="42"/>
        <v>#DIV/0!</v>
      </c>
      <c r="AE89" s="214"/>
      <c r="AF89" s="54"/>
      <c r="AH89" s="21">
        <f t="shared" si="93"/>
        <v>0</v>
      </c>
    </row>
    <row r="90" spans="1:34" s="289" customFormat="1">
      <c r="A90" s="128">
        <v>6214</v>
      </c>
      <c r="B90" s="128" t="s">
        <v>34</v>
      </c>
      <c r="C90" s="55"/>
      <c r="D90" s="49" t="e">
        <f t="shared" si="94"/>
        <v>#DIV/0!</v>
      </c>
      <c r="E90" s="55"/>
      <c r="F90" s="49" t="e">
        <f t="shared" si="95"/>
        <v>#DIV/0!</v>
      </c>
      <c r="G90" s="55"/>
      <c r="H90" s="49" t="e">
        <f t="shared" si="96"/>
        <v>#DIV/0!</v>
      </c>
      <c r="I90" s="55"/>
      <c r="J90" s="49" t="e">
        <f t="shared" si="97"/>
        <v>#DIV/0!</v>
      </c>
      <c r="K90" s="55"/>
      <c r="L90" s="49" t="e">
        <f t="shared" si="98"/>
        <v>#DIV/0!</v>
      </c>
      <c r="M90" s="55"/>
      <c r="N90" s="49" t="e">
        <f t="shared" si="99"/>
        <v>#DIV/0!</v>
      </c>
      <c r="O90" s="55"/>
      <c r="P90" s="49" t="e">
        <f t="shared" si="100"/>
        <v>#DIV/0!</v>
      </c>
      <c r="Q90" s="55"/>
      <c r="R90" s="49" t="e">
        <f t="shared" si="101"/>
        <v>#DIV/0!</v>
      </c>
      <c r="S90" s="55"/>
      <c r="T90" s="49" t="e">
        <f t="shared" si="87"/>
        <v>#DIV/0!</v>
      </c>
      <c r="U90" s="55"/>
      <c r="V90" s="49" t="e">
        <f t="shared" si="102"/>
        <v>#DIV/0!</v>
      </c>
      <c r="W90" s="55"/>
      <c r="X90" s="49" t="e">
        <f t="shared" si="103"/>
        <v>#DIV/0!</v>
      </c>
      <c r="Y90" s="55"/>
      <c r="Z90" s="49" t="e">
        <f t="shared" si="90"/>
        <v>#DIV/0!</v>
      </c>
      <c r="AA90" s="105">
        <f t="shared" si="104"/>
        <v>0</v>
      </c>
      <c r="AB90" s="108" t="e">
        <f t="shared" si="41"/>
        <v>#DIV/0!</v>
      </c>
      <c r="AC90" s="89">
        <f t="shared" si="91"/>
        <v>0</v>
      </c>
      <c r="AD90" s="92" t="e">
        <f t="shared" si="42"/>
        <v>#DIV/0!</v>
      </c>
      <c r="AE90" s="214"/>
      <c r="AF90" s="54"/>
      <c r="AH90" s="21">
        <f t="shared" si="93"/>
        <v>0</v>
      </c>
    </row>
    <row r="91" spans="1:34" s="289" customFormat="1">
      <c r="A91" s="2">
        <v>6215</v>
      </c>
      <c r="B91" s="128" t="s">
        <v>197</v>
      </c>
      <c r="C91" s="46"/>
      <c r="D91" s="49" t="e">
        <f t="shared" si="94"/>
        <v>#DIV/0!</v>
      </c>
      <c r="E91" s="46"/>
      <c r="F91" s="49" t="e">
        <f t="shared" si="95"/>
        <v>#DIV/0!</v>
      </c>
      <c r="G91" s="46"/>
      <c r="H91" s="49" t="e">
        <f t="shared" si="96"/>
        <v>#DIV/0!</v>
      </c>
      <c r="I91" s="46"/>
      <c r="J91" s="49" t="e">
        <f t="shared" si="97"/>
        <v>#DIV/0!</v>
      </c>
      <c r="K91" s="46"/>
      <c r="L91" s="49" t="e">
        <f t="shared" si="98"/>
        <v>#DIV/0!</v>
      </c>
      <c r="M91" s="46"/>
      <c r="N91" s="49" t="e">
        <f t="shared" si="99"/>
        <v>#DIV/0!</v>
      </c>
      <c r="O91" s="46"/>
      <c r="P91" s="49" t="e">
        <f t="shared" si="100"/>
        <v>#DIV/0!</v>
      </c>
      <c r="Q91" s="46"/>
      <c r="R91" s="49" t="e">
        <f t="shared" si="101"/>
        <v>#DIV/0!</v>
      </c>
      <c r="S91" s="46"/>
      <c r="T91" s="49" t="e">
        <f t="shared" si="87"/>
        <v>#DIV/0!</v>
      </c>
      <c r="U91" s="46"/>
      <c r="V91" s="49" t="e">
        <f t="shared" si="102"/>
        <v>#DIV/0!</v>
      </c>
      <c r="W91" s="46"/>
      <c r="X91" s="49" t="e">
        <f t="shared" si="103"/>
        <v>#DIV/0!</v>
      </c>
      <c r="Y91" s="46"/>
      <c r="Z91" s="49" t="e">
        <f t="shared" si="90"/>
        <v>#DIV/0!</v>
      </c>
      <c r="AA91" s="105">
        <f t="shared" si="104"/>
        <v>0</v>
      </c>
      <c r="AB91" s="108" t="e">
        <f t="shared" si="41"/>
        <v>#DIV/0!</v>
      </c>
      <c r="AC91" s="89">
        <f t="shared" si="91"/>
        <v>0</v>
      </c>
      <c r="AD91" s="92" t="e">
        <f t="shared" si="42"/>
        <v>#DIV/0!</v>
      </c>
      <c r="AE91" s="214"/>
      <c r="AF91" s="54"/>
      <c r="AH91" s="21">
        <f t="shared" si="93"/>
        <v>0</v>
      </c>
    </row>
    <row r="92" spans="1:34" s="289" customFormat="1">
      <c r="A92" s="2">
        <v>6216</v>
      </c>
      <c r="B92" s="128" t="s">
        <v>91</v>
      </c>
      <c r="C92" s="46"/>
      <c r="D92" s="49" t="e">
        <f t="shared" si="94"/>
        <v>#DIV/0!</v>
      </c>
      <c r="E92" s="46"/>
      <c r="F92" s="49" t="e">
        <f t="shared" si="95"/>
        <v>#DIV/0!</v>
      </c>
      <c r="G92" s="46"/>
      <c r="H92" s="49" t="e">
        <f t="shared" si="96"/>
        <v>#DIV/0!</v>
      </c>
      <c r="I92" s="46"/>
      <c r="J92" s="49" t="e">
        <f t="shared" si="97"/>
        <v>#DIV/0!</v>
      </c>
      <c r="K92" s="46"/>
      <c r="L92" s="49" t="e">
        <f t="shared" si="98"/>
        <v>#DIV/0!</v>
      </c>
      <c r="M92" s="46"/>
      <c r="N92" s="49" t="e">
        <f t="shared" si="99"/>
        <v>#DIV/0!</v>
      </c>
      <c r="O92" s="46"/>
      <c r="P92" s="49" t="e">
        <f t="shared" si="100"/>
        <v>#DIV/0!</v>
      </c>
      <c r="Q92" s="46"/>
      <c r="R92" s="49" t="e">
        <f t="shared" si="101"/>
        <v>#DIV/0!</v>
      </c>
      <c r="S92" s="46"/>
      <c r="T92" s="49" t="e">
        <f t="shared" si="87"/>
        <v>#DIV/0!</v>
      </c>
      <c r="U92" s="46"/>
      <c r="V92" s="49" t="e">
        <f t="shared" si="102"/>
        <v>#DIV/0!</v>
      </c>
      <c r="W92" s="46"/>
      <c r="X92" s="49" t="e">
        <f t="shared" si="103"/>
        <v>#DIV/0!</v>
      </c>
      <c r="Y92" s="46"/>
      <c r="Z92" s="49" t="e">
        <f t="shared" si="90"/>
        <v>#DIV/0!</v>
      </c>
      <c r="AA92" s="105">
        <f t="shared" si="104"/>
        <v>0</v>
      </c>
      <c r="AB92" s="108" t="e">
        <f t="shared" si="41"/>
        <v>#DIV/0!</v>
      </c>
      <c r="AC92" s="89">
        <f t="shared" si="91"/>
        <v>0</v>
      </c>
      <c r="AD92" s="92" t="e">
        <f t="shared" si="42"/>
        <v>#DIV/0!</v>
      </c>
      <c r="AE92" s="214"/>
      <c r="AF92" s="54"/>
      <c r="AH92" s="21">
        <f t="shared" si="93"/>
        <v>0</v>
      </c>
    </row>
    <row r="93" spans="1:34" s="289" customFormat="1" ht="15.75" thickBot="1">
      <c r="A93" s="4">
        <v>6299</v>
      </c>
      <c r="B93" s="4" t="s">
        <v>114</v>
      </c>
      <c r="C93" s="59">
        <f>SUM(C77:C92)</f>
        <v>0</v>
      </c>
      <c r="D93" s="69" t="e">
        <f>C93/C12</f>
        <v>#DIV/0!</v>
      </c>
      <c r="E93" s="59">
        <f>SUM(E77:E92)</f>
        <v>0</v>
      </c>
      <c r="F93" s="69" t="e">
        <f>E93/E12</f>
        <v>#DIV/0!</v>
      </c>
      <c r="G93" s="59">
        <f>SUM(G77:G92)</f>
        <v>0</v>
      </c>
      <c r="H93" s="69" t="e">
        <f>G93/G12</f>
        <v>#DIV/0!</v>
      </c>
      <c r="I93" s="59">
        <f>SUM(I77:I92)</f>
        <v>0</v>
      </c>
      <c r="J93" s="69" t="e">
        <f>I93/I12</f>
        <v>#DIV/0!</v>
      </c>
      <c r="K93" s="59">
        <f>SUM(K77:K92)</f>
        <v>0</v>
      </c>
      <c r="L93" s="69" t="e">
        <f>K93/K12</f>
        <v>#DIV/0!</v>
      </c>
      <c r="M93" s="59">
        <f>SUM(M77:M92)</f>
        <v>0</v>
      </c>
      <c r="N93" s="69" t="e">
        <f>M93/M12</f>
        <v>#DIV/0!</v>
      </c>
      <c r="O93" s="59">
        <f>SUM(O77:O92)</f>
        <v>0</v>
      </c>
      <c r="P93" s="69" t="e">
        <f>O93/O12</f>
        <v>#DIV/0!</v>
      </c>
      <c r="Q93" s="59">
        <f>SUM(Q77:Q92)</f>
        <v>0</v>
      </c>
      <c r="R93" s="69" t="e">
        <f>Q93/Q12</f>
        <v>#DIV/0!</v>
      </c>
      <c r="S93" s="59">
        <f>SUM(S77:S92)</f>
        <v>0</v>
      </c>
      <c r="T93" s="69" t="e">
        <f t="shared" si="87"/>
        <v>#DIV/0!</v>
      </c>
      <c r="U93" s="59">
        <f>SUM(U77:U92)</f>
        <v>0</v>
      </c>
      <c r="V93" s="69" t="e">
        <f>U93/U12</f>
        <v>#DIV/0!</v>
      </c>
      <c r="W93" s="59">
        <f>SUM(W77:W92)</f>
        <v>0</v>
      </c>
      <c r="X93" s="69" t="e">
        <f>W93/W12</f>
        <v>#DIV/0!</v>
      </c>
      <c r="Y93" s="59">
        <f>SUM(Y77:Y92)</f>
        <v>0</v>
      </c>
      <c r="Z93" s="69" t="e">
        <f t="shared" si="90"/>
        <v>#DIV/0!</v>
      </c>
      <c r="AA93" s="109">
        <f>SUM(AA77:AA92)</f>
        <v>0</v>
      </c>
      <c r="AB93" s="110" t="e">
        <f t="shared" si="41"/>
        <v>#DIV/0!</v>
      </c>
      <c r="AC93" s="93">
        <f t="shared" si="91"/>
        <v>0</v>
      </c>
      <c r="AD93" s="94" t="e">
        <f t="shared" si="42"/>
        <v>#DIV/0!</v>
      </c>
      <c r="AE93" s="218"/>
      <c r="AF93" s="220"/>
      <c r="AG93" s="209"/>
      <c r="AH93" s="21">
        <f t="shared" si="93"/>
        <v>0</v>
      </c>
    </row>
    <row r="94" spans="1:34" s="289" customFormat="1" ht="15.75" thickTop="1">
      <c r="A94" s="2">
        <v>6301</v>
      </c>
      <c r="B94" s="2" t="s">
        <v>36</v>
      </c>
      <c r="C94" s="347"/>
      <c r="D94" s="119" t="e">
        <f t="shared" ref="D94:D114" si="105">C94/C$12</f>
        <v>#DIV/0!</v>
      </c>
      <c r="E94" s="347"/>
      <c r="F94" s="119" t="e">
        <f t="shared" ref="F94:F114" si="106">E94/E$12</f>
        <v>#DIV/0!</v>
      </c>
      <c r="G94" s="347"/>
      <c r="H94" s="119" t="e">
        <f t="shared" ref="H94:H114" si="107">G94/G$12</f>
        <v>#DIV/0!</v>
      </c>
      <c r="I94" s="347"/>
      <c r="J94" s="119" t="e">
        <f t="shared" ref="J94:J114" si="108">I94/I$12</f>
        <v>#DIV/0!</v>
      </c>
      <c r="K94" s="347"/>
      <c r="L94" s="119" t="e">
        <f t="shared" ref="L94:L114" si="109">K94/K$12</f>
        <v>#DIV/0!</v>
      </c>
      <c r="M94" s="347"/>
      <c r="N94" s="119" t="e">
        <f t="shared" ref="N94:N114" si="110">M94/M$12</f>
        <v>#DIV/0!</v>
      </c>
      <c r="O94" s="347"/>
      <c r="P94" s="119" t="e">
        <f t="shared" ref="P94:P114" si="111">O94/O$12</f>
        <v>#DIV/0!</v>
      </c>
      <c r="Q94" s="347"/>
      <c r="R94" s="119" t="e">
        <f t="shared" ref="R94:R114" si="112">Q94/Q$12</f>
        <v>#DIV/0!</v>
      </c>
      <c r="S94" s="347"/>
      <c r="T94" s="119" t="e">
        <f t="shared" si="87"/>
        <v>#DIV/0!</v>
      </c>
      <c r="U94" s="347"/>
      <c r="V94" s="119" t="e">
        <f t="shared" ref="V94:V114" si="113">U94/U$12</f>
        <v>#DIV/0!</v>
      </c>
      <c r="W94" s="347"/>
      <c r="X94" s="119" t="e">
        <f t="shared" ref="X94:X114" si="114">W94/W$12</f>
        <v>#DIV/0!</v>
      </c>
      <c r="Y94" s="347"/>
      <c r="Z94" s="119" t="e">
        <f t="shared" si="90"/>
        <v>#DIV/0!</v>
      </c>
      <c r="AA94" s="343">
        <f t="shared" ref="AA94:AA114" si="115">C94+E94+G94+I94+K94+M94+O94+Q94+S94+U94+W94+Y94</f>
        <v>0</v>
      </c>
      <c r="AB94" s="341" t="e">
        <f>AA94/AA$12</f>
        <v>#DIV/0!</v>
      </c>
      <c r="AC94" s="342">
        <f t="shared" si="91"/>
        <v>0</v>
      </c>
      <c r="AD94" s="341" t="e">
        <f>AC94/AC$12</f>
        <v>#DIV/0!</v>
      </c>
      <c r="AE94" s="214"/>
      <c r="AF94" s="54"/>
      <c r="AH94" s="21">
        <f t="shared" si="93"/>
        <v>0</v>
      </c>
    </row>
    <row r="95" spans="1:34" s="289" customFormat="1">
      <c r="A95" s="2">
        <v>6302</v>
      </c>
      <c r="B95" s="2" t="s">
        <v>37</v>
      </c>
      <c r="C95" s="280"/>
      <c r="D95" s="108" t="e">
        <f t="shared" si="105"/>
        <v>#DIV/0!</v>
      </c>
      <c r="E95" s="280"/>
      <c r="F95" s="108" t="e">
        <f t="shared" si="106"/>
        <v>#DIV/0!</v>
      </c>
      <c r="G95" s="280"/>
      <c r="H95" s="108" t="e">
        <f t="shared" si="107"/>
        <v>#DIV/0!</v>
      </c>
      <c r="I95" s="280"/>
      <c r="J95" s="108" t="e">
        <f t="shared" si="108"/>
        <v>#DIV/0!</v>
      </c>
      <c r="K95" s="280"/>
      <c r="L95" s="108" t="e">
        <f t="shared" si="109"/>
        <v>#DIV/0!</v>
      </c>
      <c r="M95" s="280"/>
      <c r="N95" s="108" t="e">
        <f t="shared" si="110"/>
        <v>#DIV/0!</v>
      </c>
      <c r="O95" s="280"/>
      <c r="P95" s="108" t="e">
        <f t="shared" si="111"/>
        <v>#DIV/0!</v>
      </c>
      <c r="Q95" s="280"/>
      <c r="R95" s="108" t="e">
        <f t="shared" si="112"/>
        <v>#DIV/0!</v>
      </c>
      <c r="S95" s="280"/>
      <c r="T95" s="108" t="e">
        <f t="shared" si="87"/>
        <v>#DIV/0!</v>
      </c>
      <c r="U95" s="280"/>
      <c r="V95" s="108" t="e">
        <f t="shared" si="113"/>
        <v>#DIV/0!</v>
      </c>
      <c r="W95" s="280"/>
      <c r="X95" s="108" t="e">
        <f t="shared" si="114"/>
        <v>#DIV/0!</v>
      </c>
      <c r="Y95" s="280"/>
      <c r="Z95" s="108" t="e">
        <f t="shared" si="90"/>
        <v>#DIV/0!</v>
      </c>
      <c r="AA95" s="343">
        <f t="shared" si="115"/>
        <v>0</v>
      </c>
      <c r="AB95" s="341" t="e">
        <f t="shared" ref="AB95:AB99" si="116">AA95/AA$12</f>
        <v>#DIV/0!</v>
      </c>
      <c r="AC95" s="342">
        <f t="shared" si="91"/>
        <v>0</v>
      </c>
      <c r="AD95" s="341" t="e">
        <f t="shared" ref="AD95:AD99" si="117">AC95/AC$12</f>
        <v>#DIV/0!</v>
      </c>
      <c r="AE95" s="214"/>
      <c r="AF95" s="54"/>
      <c r="AH95" s="21">
        <f t="shared" si="93"/>
        <v>0</v>
      </c>
    </row>
    <row r="96" spans="1:34" s="289" customFormat="1">
      <c r="A96" s="2">
        <v>6303</v>
      </c>
      <c r="B96" s="2" t="s">
        <v>123</v>
      </c>
      <c r="C96" s="280"/>
      <c r="D96" s="108" t="e">
        <f t="shared" si="105"/>
        <v>#DIV/0!</v>
      </c>
      <c r="E96" s="280"/>
      <c r="F96" s="108" t="e">
        <f t="shared" si="106"/>
        <v>#DIV/0!</v>
      </c>
      <c r="G96" s="280"/>
      <c r="H96" s="108" t="e">
        <f t="shared" si="107"/>
        <v>#DIV/0!</v>
      </c>
      <c r="I96" s="280"/>
      <c r="J96" s="108" t="e">
        <f t="shared" si="108"/>
        <v>#DIV/0!</v>
      </c>
      <c r="K96" s="280"/>
      <c r="L96" s="108" t="e">
        <f t="shared" si="109"/>
        <v>#DIV/0!</v>
      </c>
      <c r="M96" s="280"/>
      <c r="N96" s="108" t="e">
        <f t="shared" si="110"/>
        <v>#DIV/0!</v>
      </c>
      <c r="O96" s="280"/>
      <c r="P96" s="108" t="e">
        <f t="shared" si="111"/>
        <v>#DIV/0!</v>
      </c>
      <c r="Q96" s="280"/>
      <c r="R96" s="108" t="e">
        <f t="shared" si="112"/>
        <v>#DIV/0!</v>
      </c>
      <c r="S96" s="280"/>
      <c r="T96" s="108" t="e">
        <f t="shared" si="87"/>
        <v>#DIV/0!</v>
      </c>
      <c r="U96" s="280"/>
      <c r="V96" s="108" t="e">
        <f t="shared" si="113"/>
        <v>#DIV/0!</v>
      </c>
      <c r="W96" s="280"/>
      <c r="X96" s="108" t="e">
        <f t="shared" si="114"/>
        <v>#DIV/0!</v>
      </c>
      <c r="Y96" s="280"/>
      <c r="Z96" s="108" t="e">
        <f t="shared" si="90"/>
        <v>#DIV/0!</v>
      </c>
      <c r="AA96" s="343">
        <f t="shared" si="115"/>
        <v>0</v>
      </c>
      <c r="AB96" s="341" t="e">
        <f t="shared" si="116"/>
        <v>#DIV/0!</v>
      </c>
      <c r="AC96" s="342">
        <f t="shared" si="91"/>
        <v>0</v>
      </c>
      <c r="AD96" s="341" t="e">
        <f t="shared" si="117"/>
        <v>#DIV/0!</v>
      </c>
      <c r="AE96" s="214"/>
      <c r="AF96" s="54"/>
      <c r="AH96" s="21">
        <f t="shared" si="93"/>
        <v>0</v>
      </c>
    </row>
    <row r="97" spans="1:34" s="289" customFormat="1">
      <c r="A97" s="2">
        <v>6304</v>
      </c>
      <c r="B97" s="2" t="s">
        <v>38</v>
      </c>
      <c r="C97" s="348"/>
      <c r="D97" s="108" t="e">
        <f t="shared" si="105"/>
        <v>#DIV/0!</v>
      </c>
      <c r="E97" s="348"/>
      <c r="F97" s="108" t="e">
        <f t="shared" si="106"/>
        <v>#DIV/0!</v>
      </c>
      <c r="G97" s="348"/>
      <c r="H97" s="108" t="e">
        <f t="shared" si="107"/>
        <v>#DIV/0!</v>
      </c>
      <c r="I97" s="348"/>
      <c r="J97" s="108" t="e">
        <f t="shared" si="108"/>
        <v>#DIV/0!</v>
      </c>
      <c r="K97" s="348"/>
      <c r="L97" s="108" t="e">
        <f t="shared" si="109"/>
        <v>#DIV/0!</v>
      </c>
      <c r="M97" s="348"/>
      <c r="N97" s="108" t="e">
        <f t="shared" si="110"/>
        <v>#DIV/0!</v>
      </c>
      <c r="O97" s="348"/>
      <c r="P97" s="108" t="e">
        <f t="shared" si="111"/>
        <v>#DIV/0!</v>
      </c>
      <c r="Q97" s="348"/>
      <c r="R97" s="108" t="e">
        <f t="shared" si="112"/>
        <v>#DIV/0!</v>
      </c>
      <c r="S97" s="348"/>
      <c r="T97" s="108" t="e">
        <f t="shared" si="87"/>
        <v>#DIV/0!</v>
      </c>
      <c r="U97" s="348"/>
      <c r="V97" s="108" t="e">
        <f t="shared" si="113"/>
        <v>#DIV/0!</v>
      </c>
      <c r="W97" s="348"/>
      <c r="X97" s="108" t="e">
        <f t="shared" si="114"/>
        <v>#DIV/0!</v>
      </c>
      <c r="Y97" s="348"/>
      <c r="Z97" s="108" t="e">
        <f t="shared" si="90"/>
        <v>#DIV/0!</v>
      </c>
      <c r="AA97" s="343">
        <f t="shared" si="115"/>
        <v>0</v>
      </c>
      <c r="AB97" s="341" t="e">
        <f t="shared" si="116"/>
        <v>#DIV/0!</v>
      </c>
      <c r="AC97" s="342">
        <f t="shared" si="91"/>
        <v>0</v>
      </c>
      <c r="AD97" s="341" t="e">
        <f t="shared" si="117"/>
        <v>#DIV/0!</v>
      </c>
      <c r="AE97" s="214"/>
      <c r="AF97" s="54"/>
      <c r="AH97" s="21">
        <f t="shared" si="93"/>
        <v>0</v>
      </c>
    </row>
    <row r="98" spans="1:34" s="289" customFormat="1">
      <c r="A98" s="2">
        <v>6305</v>
      </c>
      <c r="B98" s="2" t="s">
        <v>39</v>
      </c>
      <c r="C98" s="280"/>
      <c r="D98" s="108" t="e">
        <f t="shared" si="105"/>
        <v>#DIV/0!</v>
      </c>
      <c r="E98" s="280"/>
      <c r="F98" s="108" t="e">
        <f t="shared" si="106"/>
        <v>#DIV/0!</v>
      </c>
      <c r="G98" s="280"/>
      <c r="H98" s="108" t="e">
        <f t="shared" si="107"/>
        <v>#DIV/0!</v>
      </c>
      <c r="I98" s="280"/>
      <c r="J98" s="108" t="e">
        <f t="shared" si="108"/>
        <v>#DIV/0!</v>
      </c>
      <c r="K98" s="280"/>
      <c r="L98" s="108" t="e">
        <f t="shared" si="109"/>
        <v>#DIV/0!</v>
      </c>
      <c r="M98" s="280"/>
      <c r="N98" s="108" t="e">
        <f t="shared" si="110"/>
        <v>#DIV/0!</v>
      </c>
      <c r="O98" s="280"/>
      <c r="P98" s="108" t="e">
        <f t="shared" si="111"/>
        <v>#DIV/0!</v>
      </c>
      <c r="Q98" s="280"/>
      <c r="R98" s="108" t="e">
        <f t="shared" si="112"/>
        <v>#DIV/0!</v>
      </c>
      <c r="S98" s="280"/>
      <c r="T98" s="108" t="e">
        <f t="shared" si="87"/>
        <v>#DIV/0!</v>
      </c>
      <c r="U98" s="280"/>
      <c r="V98" s="108" t="e">
        <f t="shared" si="113"/>
        <v>#DIV/0!</v>
      </c>
      <c r="W98" s="280"/>
      <c r="X98" s="108" t="e">
        <f t="shared" si="114"/>
        <v>#DIV/0!</v>
      </c>
      <c r="Y98" s="280"/>
      <c r="Z98" s="108" t="e">
        <f t="shared" si="90"/>
        <v>#DIV/0!</v>
      </c>
      <c r="AA98" s="343">
        <f t="shared" si="115"/>
        <v>0</v>
      </c>
      <c r="AB98" s="341" t="e">
        <f t="shared" si="116"/>
        <v>#DIV/0!</v>
      </c>
      <c r="AC98" s="342">
        <f t="shared" si="91"/>
        <v>0</v>
      </c>
      <c r="AD98" s="341" t="e">
        <f t="shared" si="117"/>
        <v>#DIV/0!</v>
      </c>
      <c r="AE98" s="214"/>
      <c r="AF98" s="54"/>
      <c r="AH98" s="21">
        <f t="shared" si="93"/>
        <v>0</v>
      </c>
    </row>
    <row r="99" spans="1:34" s="289" customFormat="1">
      <c r="A99" s="2">
        <v>6306</v>
      </c>
      <c r="B99" s="2" t="s">
        <v>40</v>
      </c>
      <c r="C99" s="280"/>
      <c r="D99" s="108" t="e">
        <f t="shared" si="105"/>
        <v>#DIV/0!</v>
      </c>
      <c r="E99" s="280"/>
      <c r="F99" s="108" t="e">
        <f t="shared" si="106"/>
        <v>#DIV/0!</v>
      </c>
      <c r="G99" s="280"/>
      <c r="H99" s="108" t="e">
        <f t="shared" si="107"/>
        <v>#DIV/0!</v>
      </c>
      <c r="I99" s="280"/>
      <c r="J99" s="108" t="e">
        <f t="shared" si="108"/>
        <v>#DIV/0!</v>
      </c>
      <c r="K99" s="280"/>
      <c r="L99" s="108" t="e">
        <f t="shared" si="109"/>
        <v>#DIV/0!</v>
      </c>
      <c r="M99" s="280"/>
      <c r="N99" s="108" t="e">
        <f t="shared" si="110"/>
        <v>#DIV/0!</v>
      </c>
      <c r="O99" s="280"/>
      <c r="P99" s="108" t="e">
        <f t="shared" si="111"/>
        <v>#DIV/0!</v>
      </c>
      <c r="Q99" s="280"/>
      <c r="R99" s="108" t="e">
        <f t="shared" si="112"/>
        <v>#DIV/0!</v>
      </c>
      <c r="S99" s="280"/>
      <c r="T99" s="108" t="e">
        <f t="shared" si="87"/>
        <v>#DIV/0!</v>
      </c>
      <c r="U99" s="280"/>
      <c r="V99" s="108" t="e">
        <f t="shared" si="113"/>
        <v>#DIV/0!</v>
      </c>
      <c r="W99" s="280"/>
      <c r="X99" s="108" t="e">
        <f t="shared" si="114"/>
        <v>#DIV/0!</v>
      </c>
      <c r="Y99" s="280"/>
      <c r="Z99" s="108" t="e">
        <f t="shared" si="90"/>
        <v>#DIV/0!</v>
      </c>
      <c r="AA99" s="343">
        <f t="shared" si="115"/>
        <v>0</v>
      </c>
      <c r="AB99" s="341" t="e">
        <f t="shared" si="116"/>
        <v>#DIV/0!</v>
      </c>
      <c r="AC99" s="342">
        <f t="shared" si="91"/>
        <v>0</v>
      </c>
      <c r="AD99" s="341" t="e">
        <f t="shared" si="117"/>
        <v>#DIV/0!</v>
      </c>
      <c r="AE99" s="214"/>
      <c r="AF99" s="54"/>
      <c r="AH99" s="21">
        <f t="shared" si="93"/>
        <v>0</v>
      </c>
    </row>
    <row r="100" spans="1:34" s="289" customFormat="1">
      <c r="A100" s="2">
        <v>6307</v>
      </c>
      <c r="B100" s="2" t="s">
        <v>240</v>
      </c>
      <c r="C100" s="280"/>
      <c r="D100" s="108" t="e">
        <f t="shared" si="105"/>
        <v>#DIV/0!</v>
      </c>
      <c r="E100" s="280"/>
      <c r="F100" s="108" t="e">
        <f t="shared" si="106"/>
        <v>#DIV/0!</v>
      </c>
      <c r="G100" s="280"/>
      <c r="H100" s="108" t="e">
        <f t="shared" si="107"/>
        <v>#DIV/0!</v>
      </c>
      <c r="I100" s="280"/>
      <c r="J100" s="108" t="e">
        <f t="shared" si="108"/>
        <v>#DIV/0!</v>
      </c>
      <c r="K100" s="280"/>
      <c r="L100" s="108" t="e">
        <f t="shared" si="109"/>
        <v>#DIV/0!</v>
      </c>
      <c r="M100" s="280"/>
      <c r="N100" s="108" t="e">
        <f t="shared" si="110"/>
        <v>#DIV/0!</v>
      </c>
      <c r="O100" s="280"/>
      <c r="P100" s="108" t="e">
        <f t="shared" si="111"/>
        <v>#DIV/0!</v>
      </c>
      <c r="Q100" s="280"/>
      <c r="R100" s="108" t="e">
        <f t="shared" si="112"/>
        <v>#DIV/0!</v>
      </c>
      <c r="S100" s="280"/>
      <c r="T100" s="108" t="e">
        <f t="shared" si="87"/>
        <v>#DIV/0!</v>
      </c>
      <c r="U100" s="280"/>
      <c r="V100" s="108" t="e">
        <f t="shared" si="113"/>
        <v>#DIV/0!</v>
      </c>
      <c r="W100" s="280"/>
      <c r="X100" s="108" t="e">
        <f t="shared" si="114"/>
        <v>#DIV/0!</v>
      </c>
      <c r="Y100" s="280"/>
      <c r="Z100" s="108" t="e">
        <f t="shared" si="90"/>
        <v>#DIV/0!</v>
      </c>
      <c r="AA100" s="343">
        <f t="shared" si="115"/>
        <v>0</v>
      </c>
      <c r="AB100" s="341" t="e">
        <f>AA100/AA$12</f>
        <v>#DIV/0!</v>
      </c>
      <c r="AC100" s="342">
        <f t="shared" si="91"/>
        <v>0</v>
      </c>
      <c r="AD100" s="341" t="e">
        <f>AC100/AC$12</f>
        <v>#DIV/0!</v>
      </c>
      <c r="AE100" s="214"/>
      <c r="AF100" s="54"/>
      <c r="AH100" s="21"/>
    </row>
    <row r="101" spans="1:34" s="289" customFormat="1">
      <c r="A101" s="2">
        <v>6308</v>
      </c>
      <c r="B101" s="2" t="s">
        <v>142</v>
      </c>
      <c r="C101" s="280"/>
      <c r="D101" s="108" t="e">
        <f t="shared" si="105"/>
        <v>#DIV/0!</v>
      </c>
      <c r="E101" s="280"/>
      <c r="F101" s="108" t="e">
        <f t="shared" si="106"/>
        <v>#DIV/0!</v>
      </c>
      <c r="G101" s="280"/>
      <c r="H101" s="108" t="e">
        <f t="shared" si="107"/>
        <v>#DIV/0!</v>
      </c>
      <c r="I101" s="280"/>
      <c r="J101" s="108" t="e">
        <f t="shared" si="108"/>
        <v>#DIV/0!</v>
      </c>
      <c r="K101" s="280"/>
      <c r="L101" s="108" t="e">
        <f t="shared" si="109"/>
        <v>#DIV/0!</v>
      </c>
      <c r="M101" s="280"/>
      <c r="N101" s="108" t="e">
        <f t="shared" si="110"/>
        <v>#DIV/0!</v>
      </c>
      <c r="O101" s="280"/>
      <c r="P101" s="108" t="e">
        <f t="shared" si="111"/>
        <v>#DIV/0!</v>
      </c>
      <c r="Q101" s="280"/>
      <c r="R101" s="108" t="e">
        <f t="shared" si="112"/>
        <v>#DIV/0!</v>
      </c>
      <c r="S101" s="280"/>
      <c r="T101" s="108" t="e">
        <f t="shared" si="87"/>
        <v>#DIV/0!</v>
      </c>
      <c r="U101" s="280"/>
      <c r="V101" s="108" t="e">
        <f t="shared" si="113"/>
        <v>#DIV/0!</v>
      </c>
      <c r="W101" s="280"/>
      <c r="X101" s="108" t="e">
        <f t="shared" si="114"/>
        <v>#DIV/0!</v>
      </c>
      <c r="Y101" s="280"/>
      <c r="Z101" s="108" t="e">
        <f t="shared" si="90"/>
        <v>#DIV/0!</v>
      </c>
      <c r="AA101" s="343">
        <f t="shared" si="115"/>
        <v>0</v>
      </c>
      <c r="AB101" s="341" t="e">
        <f>AA101/AA$12</f>
        <v>#DIV/0!</v>
      </c>
      <c r="AC101" s="342">
        <f t="shared" si="91"/>
        <v>0</v>
      </c>
      <c r="AD101" s="341" t="e">
        <f>AC101/AC$12</f>
        <v>#DIV/0!</v>
      </c>
      <c r="AE101" s="214"/>
      <c r="AF101" s="54"/>
      <c r="AH101" s="21">
        <f t="shared" si="93"/>
        <v>0</v>
      </c>
    </row>
    <row r="102" spans="1:34" s="289" customFormat="1">
      <c r="A102" s="2">
        <v>6309</v>
      </c>
      <c r="B102" s="2" t="s">
        <v>143</v>
      </c>
      <c r="C102" s="349"/>
      <c r="D102" s="108" t="e">
        <f t="shared" si="105"/>
        <v>#DIV/0!</v>
      </c>
      <c r="E102" s="349"/>
      <c r="F102" s="108" t="e">
        <f t="shared" si="106"/>
        <v>#DIV/0!</v>
      </c>
      <c r="G102" s="349"/>
      <c r="H102" s="108" t="e">
        <f t="shared" si="107"/>
        <v>#DIV/0!</v>
      </c>
      <c r="I102" s="349"/>
      <c r="J102" s="108" t="e">
        <f t="shared" si="108"/>
        <v>#DIV/0!</v>
      </c>
      <c r="K102" s="349"/>
      <c r="L102" s="108" t="e">
        <f t="shared" si="109"/>
        <v>#DIV/0!</v>
      </c>
      <c r="M102" s="349"/>
      <c r="N102" s="108" t="e">
        <f t="shared" si="110"/>
        <v>#DIV/0!</v>
      </c>
      <c r="O102" s="349"/>
      <c r="P102" s="108" t="e">
        <f t="shared" si="111"/>
        <v>#DIV/0!</v>
      </c>
      <c r="Q102" s="349"/>
      <c r="R102" s="108" t="e">
        <f t="shared" si="112"/>
        <v>#DIV/0!</v>
      </c>
      <c r="S102" s="349"/>
      <c r="T102" s="108" t="e">
        <f t="shared" si="87"/>
        <v>#DIV/0!</v>
      </c>
      <c r="U102" s="349"/>
      <c r="V102" s="108" t="e">
        <f t="shared" si="113"/>
        <v>#DIV/0!</v>
      </c>
      <c r="W102" s="349"/>
      <c r="X102" s="108" t="e">
        <f t="shared" si="114"/>
        <v>#DIV/0!</v>
      </c>
      <c r="Y102" s="349"/>
      <c r="Z102" s="108" t="e">
        <f t="shared" si="90"/>
        <v>#DIV/0!</v>
      </c>
      <c r="AA102" s="343">
        <f t="shared" si="115"/>
        <v>0</v>
      </c>
      <c r="AB102" s="341" t="e">
        <f>AA102/AA$12</f>
        <v>#DIV/0!</v>
      </c>
      <c r="AC102" s="342">
        <f t="shared" si="91"/>
        <v>0</v>
      </c>
      <c r="AD102" s="341" t="e">
        <f>AC102/AC$12</f>
        <v>#DIV/0!</v>
      </c>
      <c r="AE102" s="214"/>
      <c r="AF102" s="54"/>
      <c r="AH102" s="21">
        <f t="shared" si="93"/>
        <v>0</v>
      </c>
    </row>
    <row r="103" spans="1:34" s="289" customFormat="1">
      <c r="A103" s="2">
        <v>6310</v>
      </c>
      <c r="B103" s="2" t="s">
        <v>144</v>
      </c>
      <c r="C103" s="280"/>
      <c r="D103" s="108" t="e">
        <f t="shared" si="105"/>
        <v>#DIV/0!</v>
      </c>
      <c r="E103" s="280"/>
      <c r="F103" s="108" t="e">
        <f t="shared" si="106"/>
        <v>#DIV/0!</v>
      </c>
      <c r="G103" s="280"/>
      <c r="H103" s="108" t="e">
        <f t="shared" si="107"/>
        <v>#DIV/0!</v>
      </c>
      <c r="I103" s="280"/>
      <c r="J103" s="108" t="e">
        <f t="shared" si="108"/>
        <v>#DIV/0!</v>
      </c>
      <c r="K103" s="280"/>
      <c r="L103" s="108" t="e">
        <f t="shared" si="109"/>
        <v>#DIV/0!</v>
      </c>
      <c r="M103" s="280"/>
      <c r="N103" s="108" t="e">
        <f t="shared" si="110"/>
        <v>#DIV/0!</v>
      </c>
      <c r="O103" s="280"/>
      <c r="P103" s="108" t="e">
        <f t="shared" si="111"/>
        <v>#DIV/0!</v>
      </c>
      <c r="Q103" s="280"/>
      <c r="R103" s="108" t="e">
        <f t="shared" si="112"/>
        <v>#DIV/0!</v>
      </c>
      <c r="S103" s="280"/>
      <c r="T103" s="108" t="e">
        <f t="shared" si="87"/>
        <v>#DIV/0!</v>
      </c>
      <c r="U103" s="280"/>
      <c r="V103" s="108" t="e">
        <f t="shared" si="113"/>
        <v>#DIV/0!</v>
      </c>
      <c r="W103" s="280"/>
      <c r="X103" s="108" t="e">
        <f t="shared" si="114"/>
        <v>#DIV/0!</v>
      </c>
      <c r="Y103" s="280"/>
      <c r="Z103" s="108" t="e">
        <f t="shared" si="90"/>
        <v>#DIV/0!</v>
      </c>
      <c r="AA103" s="343">
        <f t="shared" si="115"/>
        <v>0</v>
      </c>
      <c r="AB103" s="341" t="e">
        <f t="shared" ref="AB103:AB114" si="118">AA103/AA$12</f>
        <v>#DIV/0!</v>
      </c>
      <c r="AC103" s="342">
        <f t="shared" si="91"/>
        <v>0</v>
      </c>
      <c r="AD103" s="341" t="e">
        <f t="shared" ref="AD103:AD114" si="119">AC103/AC$12</f>
        <v>#DIV/0!</v>
      </c>
      <c r="AE103" s="214"/>
      <c r="AF103" s="54"/>
      <c r="AH103" s="21">
        <f t="shared" si="93"/>
        <v>0</v>
      </c>
    </row>
    <row r="104" spans="1:34" s="289" customFormat="1">
      <c r="A104" s="2">
        <v>6311</v>
      </c>
      <c r="B104" s="2" t="s">
        <v>145</v>
      </c>
      <c r="C104" s="280"/>
      <c r="D104" s="108" t="e">
        <f t="shared" si="105"/>
        <v>#DIV/0!</v>
      </c>
      <c r="E104" s="280"/>
      <c r="F104" s="108" t="e">
        <f t="shared" si="106"/>
        <v>#DIV/0!</v>
      </c>
      <c r="G104" s="280"/>
      <c r="H104" s="108" t="e">
        <f t="shared" si="107"/>
        <v>#DIV/0!</v>
      </c>
      <c r="I104" s="280"/>
      <c r="J104" s="108" t="e">
        <f t="shared" si="108"/>
        <v>#DIV/0!</v>
      </c>
      <c r="K104" s="280"/>
      <c r="L104" s="108" t="e">
        <f t="shared" si="109"/>
        <v>#DIV/0!</v>
      </c>
      <c r="M104" s="280"/>
      <c r="N104" s="108" t="e">
        <f t="shared" si="110"/>
        <v>#DIV/0!</v>
      </c>
      <c r="O104" s="280"/>
      <c r="P104" s="108" t="e">
        <f t="shared" si="111"/>
        <v>#DIV/0!</v>
      </c>
      <c r="Q104" s="280"/>
      <c r="R104" s="108" t="e">
        <f t="shared" si="112"/>
        <v>#DIV/0!</v>
      </c>
      <c r="S104" s="280"/>
      <c r="T104" s="108" t="e">
        <f t="shared" si="87"/>
        <v>#DIV/0!</v>
      </c>
      <c r="U104" s="280"/>
      <c r="V104" s="108" t="e">
        <f t="shared" si="113"/>
        <v>#DIV/0!</v>
      </c>
      <c r="W104" s="280"/>
      <c r="X104" s="108" t="e">
        <f t="shared" si="114"/>
        <v>#DIV/0!</v>
      </c>
      <c r="Y104" s="280"/>
      <c r="Z104" s="108" t="e">
        <f t="shared" si="90"/>
        <v>#DIV/0!</v>
      </c>
      <c r="AA104" s="343">
        <f t="shared" si="115"/>
        <v>0</v>
      </c>
      <c r="AB104" s="341" t="e">
        <f t="shared" si="118"/>
        <v>#DIV/0!</v>
      </c>
      <c r="AC104" s="342">
        <f t="shared" si="91"/>
        <v>0</v>
      </c>
      <c r="AD104" s="341" t="e">
        <f t="shared" si="119"/>
        <v>#DIV/0!</v>
      </c>
      <c r="AE104" s="214"/>
      <c r="AF104" s="54"/>
      <c r="AH104" s="21">
        <f t="shared" si="93"/>
        <v>0</v>
      </c>
    </row>
    <row r="105" spans="1:34" s="289" customFormat="1">
      <c r="A105" s="2">
        <v>6312</v>
      </c>
      <c r="B105" s="2" t="s">
        <v>146</v>
      </c>
      <c r="C105" s="280"/>
      <c r="D105" s="108" t="e">
        <f t="shared" si="105"/>
        <v>#DIV/0!</v>
      </c>
      <c r="E105" s="280"/>
      <c r="F105" s="108" t="e">
        <f t="shared" si="106"/>
        <v>#DIV/0!</v>
      </c>
      <c r="G105" s="280"/>
      <c r="H105" s="108" t="e">
        <f t="shared" si="107"/>
        <v>#DIV/0!</v>
      </c>
      <c r="I105" s="280"/>
      <c r="J105" s="108" t="e">
        <f t="shared" si="108"/>
        <v>#DIV/0!</v>
      </c>
      <c r="K105" s="280"/>
      <c r="L105" s="108" t="e">
        <f t="shared" si="109"/>
        <v>#DIV/0!</v>
      </c>
      <c r="M105" s="280"/>
      <c r="N105" s="108" t="e">
        <f t="shared" si="110"/>
        <v>#DIV/0!</v>
      </c>
      <c r="O105" s="280"/>
      <c r="P105" s="108" t="e">
        <f t="shared" si="111"/>
        <v>#DIV/0!</v>
      </c>
      <c r="Q105" s="280"/>
      <c r="R105" s="108" t="e">
        <f t="shared" si="112"/>
        <v>#DIV/0!</v>
      </c>
      <c r="S105" s="280"/>
      <c r="T105" s="108" t="e">
        <f t="shared" si="87"/>
        <v>#DIV/0!</v>
      </c>
      <c r="U105" s="280"/>
      <c r="V105" s="108" t="e">
        <f t="shared" si="113"/>
        <v>#DIV/0!</v>
      </c>
      <c r="W105" s="280"/>
      <c r="X105" s="108" t="e">
        <f t="shared" si="114"/>
        <v>#DIV/0!</v>
      </c>
      <c r="Y105" s="280"/>
      <c r="Z105" s="108" t="e">
        <f t="shared" si="90"/>
        <v>#DIV/0!</v>
      </c>
      <c r="AA105" s="343">
        <f t="shared" si="115"/>
        <v>0</v>
      </c>
      <c r="AB105" s="341" t="e">
        <f t="shared" si="118"/>
        <v>#DIV/0!</v>
      </c>
      <c r="AC105" s="342">
        <f t="shared" si="91"/>
        <v>0</v>
      </c>
      <c r="AD105" s="341" t="e">
        <f t="shared" si="119"/>
        <v>#DIV/0!</v>
      </c>
      <c r="AE105" s="214"/>
      <c r="AF105" s="54"/>
      <c r="AH105" s="21">
        <f t="shared" si="93"/>
        <v>0</v>
      </c>
    </row>
    <row r="106" spans="1:34" s="289" customFormat="1">
      <c r="A106" s="2">
        <v>6313</v>
      </c>
      <c r="B106" s="2" t="s">
        <v>147</v>
      </c>
      <c r="C106" s="280"/>
      <c r="D106" s="108" t="e">
        <f t="shared" si="105"/>
        <v>#DIV/0!</v>
      </c>
      <c r="E106" s="280"/>
      <c r="F106" s="108" t="e">
        <f t="shared" si="106"/>
        <v>#DIV/0!</v>
      </c>
      <c r="G106" s="280"/>
      <c r="H106" s="108" t="e">
        <f t="shared" si="107"/>
        <v>#DIV/0!</v>
      </c>
      <c r="I106" s="280"/>
      <c r="J106" s="108" t="e">
        <f t="shared" si="108"/>
        <v>#DIV/0!</v>
      </c>
      <c r="K106" s="280"/>
      <c r="L106" s="108" t="e">
        <f t="shared" si="109"/>
        <v>#DIV/0!</v>
      </c>
      <c r="M106" s="280"/>
      <c r="N106" s="108" t="e">
        <f t="shared" si="110"/>
        <v>#DIV/0!</v>
      </c>
      <c r="O106" s="280"/>
      <c r="P106" s="108" t="e">
        <f t="shared" si="111"/>
        <v>#DIV/0!</v>
      </c>
      <c r="Q106" s="280"/>
      <c r="R106" s="108" t="e">
        <f t="shared" si="112"/>
        <v>#DIV/0!</v>
      </c>
      <c r="S106" s="280"/>
      <c r="T106" s="108" t="e">
        <f t="shared" si="87"/>
        <v>#DIV/0!</v>
      </c>
      <c r="U106" s="280"/>
      <c r="V106" s="108" t="e">
        <f t="shared" si="113"/>
        <v>#DIV/0!</v>
      </c>
      <c r="W106" s="280"/>
      <c r="X106" s="108" t="e">
        <f t="shared" si="114"/>
        <v>#DIV/0!</v>
      </c>
      <c r="Y106" s="280"/>
      <c r="Z106" s="108" t="e">
        <f t="shared" si="90"/>
        <v>#DIV/0!</v>
      </c>
      <c r="AA106" s="343">
        <f t="shared" si="115"/>
        <v>0</v>
      </c>
      <c r="AB106" s="341" t="e">
        <f t="shared" si="118"/>
        <v>#DIV/0!</v>
      </c>
      <c r="AC106" s="342">
        <f t="shared" si="91"/>
        <v>0</v>
      </c>
      <c r="AD106" s="341" t="e">
        <f t="shared" si="119"/>
        <v>#DIV/0!</v>
      </c>
      <c r="AE106" s="214"/>
      <c r="AF106" s="54"/>
      <c r="AH106" s="21">
        <f t="shared" si="93"/>
        <v>0</v>
      </c>
    </row>
    <row r="107" spans="1:34" s="289" customFormat="1">
      <c r="A107" s="2">
        <v>6314</v>
      </c>
      <c r="B107" s="2" t="s">
        <v>211</v>
      </c>
      <c r="C107" s="280"/>
      <c r="D107" s="108" t="e">
        <f t="shared" si="105"/>
        <v>#DIV/0!</v>
      </c>
      <c r="E107" s="280"/>
      <c r="F107" s="108" t="e">
        <f t="shared" si="106"/>
        <v>#DIV/0!</v>
      </c>
      <c r="G107" s="280"/>
      <c r="H107" s="108" t="e">
        <f t="shared" si="107"/>
        <v>#DIV/0!</v>
      </c>
      <c r="I107" s="280"/>
      <c r="J107" s="108" t="e">
        <f t="shared" si="108"/>
        <v>#DIV/0!</v>
      </c>
      <c r="K107" s="280"/>
      <c r="L107" s="108" t="e">
        <f t="shared" si="109"/>
        <v>#DIV/0!</v>
      </c>
      <c r="M107" s="280"/>
      <c r="N107" s="108" t="e">
        <f t="shared" si="110"/>
        <v>#DIV/0!</v>
      </c>
      <c r="O107" s="280"/>
      <c r="P107" s="108" t="e">
        <f t="shared" si="111"/>
        <v>#DIV/0!</v>
      </c>
      <c r="Q107" s="280"/>
      <c r="R107" s="108" t="e">
        <f t="shared" si="112"/>
        <v>#DIV/0!</v>
      </c>
      <c r="S107" s="280"/>
      <c r="T107" s="108" t="e">
        <f t="shared" si="87"/>
        <v>#DIV/0!</v>
      </c>
      <c r="U107" s="280"/>
      <c r="V107" s="108" t="e">
        <f t="shared" si="113"/>
        <v>#DIV/0!</v>
      </c>
      <c r="W107" s="280"/>
      <c r="X107" s="108" t="e">
        <f t="shared" si="114"/>
        <v>#DIV/0!</v>
      </c>
      <c r="Y107" s="280"/>
      <c r="Z107" s="108" t="e">
        <f t="shared" si="90"/>
        <v>#DIV/0!</v>
      </c>
      <c r="AA107" s="343">
        <f t="shared" si="115"/>
        <v>0</v>
      </c>
      <c r="AB107" s="341" t="e">
        <f t="shared" si="118"/>
        <v>#DIV/0!</v>
      </c>
      <c r="AC107" s="342">
        <f t="shared" si="91"/>
        <v>0</v>
      </c>
      <c r="AD107" s="341" t="e">
        <f t="shared" si="119"/>
        <v>#DIV/0!</v>
      </c>
      <c r="AE107" s="214"/>
      <c r="AF107" s="54"/>
      <c r="AH107" s="21">
        <f t="shared" si="93"/>
        <v>0</v>
      </c>
    </row>
    <row r="108" spans="1:34" s="289" customFormat="1">
      <c r="A108" s="2">
        <v>6315</v>
      </c>
      <c r="B108" s="2" t="s">
        <v>241</v>
      </c>
      <c r="C108" s="280"/>
      <c r="D108" s="108" t="e">
        <f t="shared" si="105"/>
        <v>#DIV/0!</v>
      </c>
      <c r="E108" s="280"/>
      <c r="F108" s="108" t="e">
        <f t="shared" si="106"/>
        <v>#DIV/0!</v>
      </c>
      <c r="G108" s="280"/>
      <c r="H108" s="108" t="e">
        <f t="shared" si="107"/>
        <v>#DIV/0!</v>
      </c>
      <c r="I108" s="280"/>
      <c r="J108" s="108" t="e">
        <f t="shared" si="108"/>
        <v>#DIV/0!</v>
      </c>
      <c r="K108" s="280"/>
      <c r="L108" s="108" t="e">
        <f t="shared" si="109"/>
        <v>#DIV/0!</v>
      </c>
      <c r="M108" s="280"/>
      <c r="N108" s="108" t="e">
        <f t="shared" si="110"/>
        <v>#DIV/0!</v>
      </c>
      <c r="O108" s="280"/>
      <c r="P108" s="108" t="e">
        <f t="shared" si="111"/>
        <v>#DIV/0!</v>
      </c>
      <c r="Q108" s="280"/>
      <c r="R108" s="108" t="e">
        <f t="shared" si="112"/>
        <v>#DIV/0!</v>
      </c>
      <c r="S108" s="280"/>
      <c r="T108" s="108" t="e">
        <f t="shared" si="87"/>
        <v>#DIV/0!</v>
      </c>
      <c r="U108" s="280"/>
      <c r="V108" s="108" t="e">
        <f t="shared" si="113"/>
        <v>#DIV/0!</v>
      </c>
      <c r="W108" s="280"/>
      <c r="X108" s="108" t="e">
        <f t="shared" si="114"/>
        <v>#DIV/0!</v>
      </c>
      <c r="Y108" s="280"/>
      <c r="Z108" s="108" t="e">
        <f t="shared" si="90"/>
        <v>#DIV/0!</v>
      </c>
      <c r="AA108" s="343">
        <f t="shared" si="115"/>
        <v>0</v>
      </c>
      <c r="AB108" s="341" t="e">
        <f t="shared" si="118"/>
        <v>#DIV/0!</v>
      </c>
      <c r="AC108" s="342">
        <f t="shared" si="91"/>
        <v>0</v>
      </c>
      <c r="AD108" s="341" t="e">
        <f t="shared" si="119"/>
        <v>#DIV/0!</v>
      </c>
      <c r="AE108" s="214"/>
      <c r="AF108" s="54"/>
      <c r="AH108" s="21"/>
    </row>
    <row r="109" spans="1:34" s="289" customFormat="1">
      <c r="A109" s="2">
        <v>6316</v>
      </c>
      <c r="B109" s="2" t="s">
        <v>242</v>
      </c>
      <c r="C109" s="280"/>
      <c r="D109" s="108" t="e">
        <f t="shared" si="105"/>
        <v>#DIV/0!</v>
      </c>
      <c r="E109" s="280"/>
      <c r="F109" s="108" t="e">
        <f t="shared" si="106"/>
        <v>#DIV/0!</v>
      </c>
      <c r="G109" s="280"/>
      <c r="H109" s="108" t="e">
        <f t="shared" si="107"/>
        <v>#DIV/0!</v>
      </c>
      <c r="I109" s="280"/>
      <c r="J109" s="108" t="e">
        <f t="shared" si="108"/>
        <v>#DIV/0!</v>
      </c>
      <c r="K109" s="280"/>
      <c r="L109" s="108" t="e">
        <f t="shared" si="109"/>
        <v>#DIV/0!</v>
      </c>
      <c r="M109" s="280"/>
      <c r="N109" s="108" t="e">
        <f t="shared" si="110"/>
        <v>#DIV/0!</v>
      </c>
      <c r="O109" s="280"/>
      <c r="P109" s="108" t="e">
        <f t="shared" si="111"/>
        <v>#DIV/0!</v>
      </c>
      <c r="Q109" s="280"/>
      <c r="R109" s="108" t="e">
        <f t="shared" si="112"/>
        <v>#DIV/0!</v>
      </c>
      <c r="S109" s="280"/>
      <c r="T109" s="108" t="e">
        <f t="shared" si="87"/>
        <v>#DIV/0!</v>
      </c>
      <c r="U109" s="280"/>
      <c r="V109" s="108" t="e">
        <f t="shared" si="113"/>
        <v>#DIV/0!</v>
      </c>
      <c r="W109" s="280"/>
      <c r="X109" s="108" t="e">
        <f t="shared" si="114"/>
        <v>#DIV/0!</v>
      </c>
      <c r="Y109" s="280"/>
      <c r="Z109" s="108" t="e">
        <f t="shared" si="90"/>
        <v>#DIV/0!</v>
      </c>
      <c r="AA109" s="343">
        <f t="shared" si="115"/>
        <v>0</v>
      </c>
      <c r="AB109" s="341" t="e">
        <f t="shared" si="118"/>
        <v>#DIV/0!</v>
      </c>
      <c r="AC109" s="342">
        <f t="shared" si="91"/>
        <v>0</v>
      </c>
      <c r="AD109" s="341" t="e">
        <f t="shared" si="119"/>
        <v>#DIV/0!</v>
      </c>
      <c r="AE109" s="214"/>
      <c r="AF109" s="54"/>
      <c r="AH109" s="21"/>
    </row>
    <row r="110" spans="1:34" s="289" customFormat="1">
      <c r="A110" s="2">
        <v>6317</v>
      </c>
      <c r="B110" s="2" t="s">
        <v>243</v>
      </c>
      <c r="C110" s="280"/>
      <c r="D110" s="108" t="e">
        <f t="shared" si="105"/>
        <v>#DIV/0!</v>
      </c>
      <c r="E110" s="280"/>
      <c r="F110" s="108" t="e">
        <f t="shared" si="106"/>
        <v>#DIV/0!</v>
      </c>
      <c r="G110" s="280"/>
      <c r="H110" s="108" t="e">
        <f t="shared" si="107"/>
        <v>#DIV/0!</v>
      </c>
      <c r="I110" s="280"/>
      <c r="J110" s="108" t="e">
        <f t="shared" si="108"/>
        <v>#DIV/0!</v>
      </c>
      <c r="K110" s="280"/>
      <c r="L110" s="108" t="e">
        <f t="shared" si="109"/>
        <v>#DIV/0!</v>
      </c>
      <c r="M110" s="280"/>
      <c r="N110" s="108" t="e">
        <f t="shared" si="110"/>
        <v>#DIV/0!</v>
      </c>
      <c r="O110" s="280"/>
      <c r="P110" s="108" t="e">
        <f t="shared" si="111"/>
        <v>#DIV/0!</v>
      </c>
      <c r="Q110" s="280"/>
      <c r="R110" s="108" t="e">
        <f t="shared" si="112"/>
        <v>#DIV/0!</v>
      </c>
      <c r="S110" s="280"/>
      <c r="T110" s="108" t="e">
        <f t="shared" si="87"/>
        <v>#DIV/0!</v>
      </c>
      <c r="U110" s="280"/>
      <c r="V110" s="108" t="e">
        <f t="shared" si="113"/>
        <v>#DIV/0!</v>
      </c>
      <c r="W110" s="280"/>
      <c r="X110" s="108" t="e">
        <f t="shared" si="114"/>
        <v>#DIV/0!</v>
      </c>
      <c r="Y110" s="280"/>
      <c r="Z110" s="108" t="e">
        <f t="shared" si="90"/>
        <v>#DIV/0!</v>
      </c>
      <c r="AA110" s="343">
        <f t="shared" si="115"/>
        <v>0</v>
      </c>
      <c r="AB110" s="341" t="e">
        <f t="shared" si="118"/>
        <v>#DIV/0!</v>
      </c>
      <c r="AC110" s="342">
        <f t="shared" si="91"/>
        <v>0</v>
      </c>
      <c r="AD110" s="341" t="e">
        <f t="shared" si="119"/>
        <v>#DIV/0!</v>
      </c>
      <c r="AE110" s="214"/>
      <c r="AF110" s="54"/>
      <c r="AH110" s="21"/>
    </row>
    <row r="111" spans="1:34" s="289" customFormat="1">
      <c r="A111" s="2">
        <v>6318</v>
      </c>
      <c r="B111" s="2" t="s">
        <v>244</v>
      </c>
      <c r="C111" s="280"/>
      <c r="D111" s="108" t="e">
        <f t="shared" si="105"/>
        <v>#DIV/0!</v>
      </c>
      <c r="E111" s="280"/>
      <c r="F111" s="108" t="e">
        <f t="shared" si="106"/>
        <v>#DIV/0!</v>
      </c>
      <c r="G111" s="280"/>
      <c r="H111" s="108" t="e">
        <f t="shared" si="107"/>
        <v>#DIV/0!</v>
      </c>
      <c r="I111" s="280"/>
      <c r="J111" s="108" t="e">
        <f t="shared" si="108"/>
        <v>#DIV/0!</v>
      </c>
      <c r="K111" s="280"/>
      <c r="L111" s="108" t="e">
        <f t="shared" si="109"/>
        <v>#DIV/0!</v>
      </c>
      <c r="M111" s="280"/>
      <c r="N111" s="108" t="e">
        <f t="shared" si="110"/>
        <v>#DIV/0!</v>
      </c>
      <c r="O111" s="280"/>
      <c r="P111" s="108" t="e">
        <f t="shared" si="111"/>
        <v>#DIV/0!</v>
      </c>
      <c r="Q111" s="280"/>
      <c r="R111" s="108" t="e">
        <f t="shared" si="112"/>
        <v>#DIV/0!</v>
      </c>
      <c r="S111" s="280"/>
      <c r="T111" s="108" t="e">
        <f t="shared" si="87"/>
        <v>#DIV/0!</v>
      </c>
      <c r="U111" s="280"/>
      <c r="V111" s="108" t="e">
        <f t="shared" si="113"/>
        <v>#DIV/0!</v>
      </c>
      <c r="W111" s="280"/>
      <c r="X111" s="108" t="e">
        <f t="shared" si="114"/>
        <v>#DIV/0!</v>
      </c>
      <c r="Y111" s="280"/>
      <c r="Z111" s="108" t="e">
        <f t="shared" si="90"/>
        <v>#DIV/0!</v>
      </c>
      <c r="AA111" s="343">
        <f t="shared" si="115"/>
        <v>0</v>
      </c>
      <c r="AB111" s="341" t="e">
        <f t="shared" si="118"/>
        <v>#DIV/0!</v>
      </c>
      <c r="AC111" s="342">
        <f t="shared" si="91"/>
        <v>0</v>
      </c>
      <c r="AD111" s="341" t="e">
        <f t="shared" si="119"/>
        <v>#DIV/0!</v>
      </c>
      <c r="AE111" s="214"/>
      <c r="AF111" s="54"/>
      <c r="AH111" s="21"/>
    </row>
    <row r="112" spans="1:34" s="289" customFormat="1">
      <c r="A112" s="2">
        <v>6319</v>
      </c>
      <c r="B112" s="2" t="s">
        <v>245</v>
      </c>
      <c r="C112" s="280"/>
      <c r="D112" s="108" t="e">
        <f t="shared" si="105"/>
        <v>#DIV/0!</v>
      </c>
      <c r="E112" s="280"/>
      <c r="F112" s="108" t="e">
        <f t="shared" si="106"/>
        <v>#DIV/0!</v>
      </c>
      <c r="G112" s="280"/>
      <c r="H112" s="108" t="e">
        <f t="shared" si="107"/>
        <v>#DIV/0!</v>
      </c>
      <c r="I112" s="280"/>
      <c r="J112" s="108" t="e">
        <f t="shared" si="108"/>
        <v>#DIV/0!</v>
      </c>
      <c r="K112" s="280"/>
      <c r="L112" s="108" t="e">
        <f t="shared" si="109"/>
        <v>#DIV/0!</v>
      </c>
      <c r="M112" s="280"/>
      <c r="N112" s="108" t="e">
        <f t="shared" si="110"/>
        <v>#DIV/0!</v>
      </c>
      <c r="O112" s="280"/>
      <c r="P112" s="108" t="e">
        <f t="shared" si="111"/>
        <v>#DIV/0!</v>
      </c>
      <c r="Q112" s="280"/>
      <c r="R112" s="108" t="e">
        <f t="shared" si="112"/>
        <v>#DIV/0!</v>
      </c>
      <c r="S112" s="280"/>
      <c r="T112" s="108" t="e">
        <f t="shared" si="87"/>
        <v>#DIV/0!</v>
      </c>
      <c r="U112" s="280"/>
      <c r="V112" s="108" t="e">
        <f t="shared" si="113"/>
        <v>#DIV/0!</v>
      </c>
      <c r="W112" s="280"/>
      <c r="X112" s="108" t="e">
        <f t="shared" si="114"/>
        <v>#DIV/0!</v>
      </c>
      <c r="Y112" s="280"/>
      <c r="Z112" s="108" t="e">
        <f t="shared" si="90"/>
        <v>#DIV/0!</v>
      </c>
      <c r="AA112" s="343">
        <f t="shared" si="115"/>
        <v>0</v>
      </c>
      <c r="AB112" s="341" t="e">
        <f t="shared" si="118"/>
        <v>#DIV/0!</v>
      </c>
      <c r="AC112" s="342">
        <f t="shared" si="91"/>
        <v>0</v>
      </c>
      <c r="AD112" s="341" t="e">
        <f t="shared" si="119"/>
        <v>#DIV/0!</v>
      </c>
      <c r="AE112" s="214"/>
      <c r="AF112" s="54"/>
      <c r="AH112" s="21"/>
    </row>
    <row r="113" spans="1:34" s="289" customFormat="1">
      <c r="A113" s="2">
        <v>6320</v>
      </c>
      <c r="B113" s="2" t="s">
        <v>246</v>
      </c>
      <c r="C113" s="280"/>
      <c r="D113" s="108" t="e">
        <f t="shared" si="105"/>
        <v>#DIV/0!</v>
      </c>
      <c r="E113" s="280"/>
      <c r="F113" s="108" t="e">
        <f t="shared" si="106"/>
        <v>#DIV/0!</v>
      </c>
      <c r="G113" s="280"/>
      <c r="H113" s="108" t="e">
        <f t="shared" si="107"/>
        <v>#DIV/0!</v>
      </c>
      <c r="I113" s="280"/>
      <c r="J113" s="108" t="e">
        <f t="shared" si="108"/>
        <v>#DIV/0!</v>
      </c>
      <c r="K113" s="280"/>
      <c r="L113" s="108" t="e">
        <f t="shared" si="109"/>
        <v>#DIV/0!</v>
      </c>
      <c r="M113" s="280"/>
      <c r="N113" s="108" t="e">
        <f t="shared" si="110"/>
        <v>#DIV/0!</v>
      </c>
      <c r="O113" s="280"/>
      <c r="P113" s="108" t="e">
        <f t="shared" si="111"/>
        <v>#DIV/0!</v>
      </c>
      <c r="Q113" s="280"/>
      <c r="R113" s="108" t="e">
        <f t="shared" si="112"/>
        <v>#DIV/0!</v>
      </c>
      <c r="S113" s="280"/>
      <c r="T113" s="108" t="e">
        <f t="shared" si="87"/>
        <v>#DIV/0!</v>
      </c>
      <c r="U113" s="280"/>
      <c r="V113" s="108" t="e">
        <f t="shared" si="113"/>
        <v>#DIV/0!</v>
      </c>
      <c r="W113" s="280"/>
      <c r="X113" s="108" t="e">
        <f t="shared" si="114"/>
        <v>#DIV/0!</v>
      </c>
      <c r="Y113" s="280"/>
      <c r="Z113" s="108" t="e">
        <f t="shared" si="90"/>
        <v>#DIV/0!</v>
      </c>
      <c r="AA113" s="343">
        <f t="shared" si="115"/>
        <v>0</v>
      </c>
      <c r="AB113" s="341" t="e">
        <f t="shared" si="118"/>
        <v>#DIV/0!</v>
      </c>
      <c r="AC113" s="342">
        <f t="shared" si="91"/>
        <v>0</v>
      </c>
      <c r="AD113" s="341" t="e">
        <f t="shared" si="119"/>
        <v>#DIV/0!</v>
      </c>
      <c r="AE113" s="214"/>
      <c r="AF113" s="54"/>
      <c r="AH113" s="21"/>
    </row>
    <row r="114" spans="1:34" s="289" customFormat="1">
      <c r="A114" s="2">
        <v>6321</v>
      </c>
      <c r="B114" s="2" t="s">
        <v>247</v>
      </c>
      <c r="C114" s="350"/>
      <c r="D114" s="351" t="e">
        <f t="shared" si="105"/>
        <v>#DIV/0!</v>
      </c>
      <c r="E114" s="350"/>
      <c r="F114" s="351" t="e">
        <f t="shared" si="106"/>
        <v>#DIV/0!</v>
      </c>
      <c r="G114" s="350"/>
      <c r="H114" s="351" t="e">
        <f t="shared" si="107"/>
        <v>#DIV/0!</v>
      </c>
      <c r="I114" s="350"/>
      <c r="J114" s="351" t="e">
        <f t="shared" si="108"/>
        <v>#DIV/0!</v>
      </c>
      <c r="K114" s="350"/>
      <c r="L114" s="351" t="e">
        <f t="shared" si="109"/>
        <v>#DIV/0!</v>
      </c>
      <c r="M114" s="350"/>
      <c r="N114" s="351" t="e">
        <f t="shared" si="110"/>
        <v>#DIV/0!</v>
      </c>
      <c r="O114" s="350"/>
      <c r="P114" s="351" t="e">
        <f t="shared" si="111"/>
        <v>#DIV/0!</v>
      </c>
      <c r="Q114" s="350"/>
      <c r="R114" s="351" t="e">
        <f t="shared" si="112"/>
        <v>#DIV/0!</v>
      </c>
      <c r="S114" s="350"/>
      <c r="T114" s="351" t="e">
        <f t="shared" si="87"/>
        <v>#DIV/0!</v>
      </c>
      <c r="U114" s="350"/>
      <c r="V114" s="351" t="e">
        <f t="shared" si="113"/>
        <v>#DIV/0!</v>
      </c>
      <c r="W114" s="350"/>
      <c r="X114" s="351" t="e">
        <f t="shared" si="114"/>
        <v>#DIV/0!</v>
      </c>
      <c r="Y114" s="350"/>
      <c r="Z114" s="351" t="e">
        <f t="shared" si="90"/>
        <v>#DIV/0!</v>
      </c>
      <c r="AA114" s="343">
        <f t="shared" si="115"/>
        <v>0</v>
      </c>
      <c r="AB114" s="341" t="e">
        <f t="shared" si="118"/>
        <v>#DIV/0!</v>
      </c>
      <c r="AC114" s="342">
        <f t="shared" si="91"/>
        <v>0</v>
      </c>
      <c r="AD114" s="341" t="e">
        <f t="shared" si="119"/>
        <v>#DIV/0!</v>
      </c>
      <c r="AE114" s="214"/>
      <c r="AF114" s="54"/>
      <c r="AH114" s="21"/>
    </row>
    <row r="115" spans="1:34" s="289" customFormat="1" ht="15.75" thickBot="1">
      <c r="A115" s="4">
        <v>6399</v>
      </c>
      <c r="B115" s="4" t="s">
        <v>115</v>
      </c>
      <c r="C115" s="344">
        <f>SUM(C94:C114)</f>
        <v>0</v>
      </c>
      <c r="D115" s="345" t="e">
        <f>C115/C12</f>
        <v>#DIV/0!</v>
      </c>
      <c r="E115" s="344">
        <f>SUM(E94:E114)</f>
        <v>0</v>
      </c>
      <c r="F115" s="345" t="e">
        <f>E115/E12</f>
        <v>#DIV/0!</v>
      </c>
      <c r="G115" s="344">
        <f>SUM(G94:G114)</f>
        <v>0</v>
      </c>
      <c r="H115" s="345" t="e">
        <f>G115/G12</f>
        <v>#DIV/0!</v>
      </c>
      <c r="I115" s="344">
        <f>SUM(I94:I114)</f>
        <v>0</v>
      </c>
      <c r="J115" s="345" t="e">
        <f>I115/I12</f>
        <v>#DIV/0!</v>
      </c>
      <c r="K115" s="344">
        <f>SUM(K94:K114)</f>
        <v>0</v>
      </c>
      <c r="L115" s="345" t="e">
        <f>K115/K12</f>
        <v>#DIV/0!</v>
      </c>
      <c r="M115" s="344">
        <f>SUM(M94:M114)</f>
        <v>0</v>
      </c>
      <c r="N115" s="345" t="e">
        <f>M115/M12</f>
        <v>#DIV/0!</v>
      </c>
      <c r="O115" s="344">
        <f>SUM(O94:O114)</f>
        <v>0</v>
      </c>
      <c r="P115" s="345" t="e">
        <f>O115/O12</f>
        <v>#DIV/0!</v>
      </c>
      <c r="Q115" s="344">
        <f>SUM(Q94:Q114)</f>
        <v>0</v>
      </c>
      <c r="R115" s="345" t="e">
        <f>Q115/Q12</f>
        <v>#DIV/0!</v>
      </c>
      <c r="S115" s="344">
        <f>SUM(S94:S114)</f>
        <v>0</v>
      </c>
      <c r="T115" s="345" t="e">
        <f>S115/S12</f>
        <v>#DIV/0!</v>
      </c>
      <c r="U115" s="344">
        <f>SUM(U94:U114)</f>
        <v>0</v>
      </c>
      <c r="V115" s="345" t="e">
        <f>U115/U12</f>
        <v>#DIV/0!</v>
      </c>
      <c r="W115" s="344">
        <f>SUM(W94:W114)</f>
        <v>0</v>
      </c>
      <c r="X115" s="345" t="e">
        <f>W115/W12</f>
        <v>#DIV/0!</v>
      </c>
      <c r="Y115" s="344">
        <f>SUM(Y94:Y114)</f>
        <v>0</v>
      </c>
      <c r="Z115" s="345" t="e">
        <f>Y115/Y12</f>
        <v>#DIV/0!</v>
      </c>
      <c r="AA115" s="344">
        <f>SUM(AA94:AA114)</f>
        <v>0</v>
      </c>
      <c r="AB115" s="345" t="e">
        <f>AA115/AA12</f>
        <v>#DIV/0!</v>
      </c>
      <c r="AC115" s="346">
        <f t="shared" si="91"/>
        <v>0</v>
      </c>
      <c r="AD115" s="345" t="e">
        <f>AC115/AC12</f>
        <v>#DIV/0!</v>
      </c>
      <c r="AE115" s="218"/>
      <c r="AF115" s="219"/>
      <c r="AG115" s="209"/>
      <c r="AH115" s="21">
        <f t="shared" si="93"/>
        <v>0</v>
      </c>
    </row>
    <row r="116" spans="1:34" s="289" customFormat="1" ht="15.75" thickTop="1">
      <c r="A116" s="20">
        <v>6401</v>
      </c>
      <c r="B116" s="20" t="s">
        <v>89</v>
      </c>
      <c r="C116" s="175"/>
      <c r="D116" s="49" t="e">
        <f t="shared" ref="D116:AD123" si="120">C116/C$12</f>
        <v>#DIV/0!</v>
      </c>
      <c r="E116" s="175"/>
      <c r="F116" s="146" t="e">
        <f t="shared" ref="F116:F121" si="121">E116/E$12</f>
        <v>#DIV/0!</v>
      </c>
      <c r="G116" s="175"/>
      <c r="H116" s="49" t="e">
        <f t="shared" ref="H116:H121" si="122">G116/G$12</f>
        <v>#DIV/0!</v>
      </c>
      <c r="I116" s="175"/>
      <c r="J116" s="146" t="e">
        <f t="shared" ref="J116:J121" si="123">I116/I$12</f>
        <v>#DIV/0!</v>
      </c>
      <c r="K116" s="175"/>
      <c r="L116" s="49" t="e">
        <f t="shared" ref="L116:L121" si="124">K116/K$12</f>
        <v>#DIV/0!</v>
      </c>
      <c r="M116" s="175"/>
      <c r="N116" s="146" t="e">
        <f t="shared" ref="N116:N121" si="125">M116/M$12</f>
        <v>#DIV/0!</v>
      </c>
      <c r="O116" s="175"/>
      <c r="P116" s="146" t="e">
        <f t="shared" ref="P116:P121" si="126">O116/O$12</f>
        <v>#DIV/0!</v>
      </c>
      <c r="Q116" s="175"/>
      <c r="R116" s="146" t="e">
        <f t="shared" ref="R116:R121" si="127">Q116/Q$12</f>
        <v>#DIV/0!</v>
      </c>
      <c r="S116" s="175"/>
      <c r="T116" s="146" t="e">
        <f t="shared" si="87"/>
        <v>#DIV/0!</v>
      </c>
      <c r="U116" s="175"/>
      <c r="V116" s="146" t="e">
        <f t="shared" ref="V116:V121" si="128">U116/U$12</f>
        <v>#DIV/0!</v>
      </c>
      <c r="W116" s="175"/>
      <c r="X116" s="146" t="e">
        <f t="shared" ref="X116:X121" si="129">W116/W$12</f>
        <v>#DIV/0!</v>
      </c>
      <c r="Y116" s="175"/>
      <c r="Z116" s="146" t="e">
        <f t="shared" si="90"/>
        <v>#DIV/0!</v>
      </c>
      <c r="AA116" s="105">
        <f t="shared" ref="AA116:AA127" si="130">C116+E116+G116+I116+K116+M116+O116+Q116+S116+U116+W116+Y116</f>
        <v>0</v>
      </c>
      <c r="AB116" s="108" t="e">
        <f t="shared" ref="AB116:AB121" si="131">AA116/AA$12</f>
        <v>#DIV/0!</v>
      </c>
      <c r="AC116" s="89">
        <f t="shared" si="91"/>
        <v>0</v>
      </c>
      <c r="AD116" s="92" t="e">
        <f t="shared" ref="AD116:AD121" si="132">AC116/AC$12</f>
        <v>#DIV/0!</v>
      </c>
      <c r="AE116" s="214"/>
      <c r="AF116" s="54"/>
      <c r="AH116" s="21">
        <f t="shared" si="93"/>
        <v>0</v>
      </c>
    </row>
    <row r="117" spans="1:34" s="5" customFormat="1">
      <c r="A117" s="128">
        <v>6402</v>
      </c>
      <c r="B117" s="20" t="s">
        <v>75</v>
      </c>
      <c r="C117" s="176"/>
      <c r="D117" s="49" t="e">
        <f t="shared" si="120"/>
        <v>#DIV/0!</v>
      </c>
      <c r="E117" s="176"/>
      <c r="F117" s="49" t="e">
        <f t="shared" si="121"/>
        <v>#DIV/0!</v>
      </c>
      <c r="G117" s="176"/>
      <c r="H117" s="49" t="e">
        <f t="shared" si="122"/>
        <v>#DIV/0!</v>
      </c>
      <c r="I117" s="176"/>
      <c r="J117" s="49" t="e">
        <f t="shared" si="123"/>
        <v>#DIV/0!</v>
      </c>
      <c r="K117" s="176"/>
      <c r="L117" s="49" t="e">
        <f t="shared" si="124"/>
        <v>#DIV/0!</v>
      </c>
      <c r="M117" s="176"/>
      <c r="N117" s="49" t="e">
        <f t="shared" si="125"/>
        <v>#DIV/0!</v>
      </c>
      <c r="O117" s="176"/>
      <c r="P117" s="49" t="e">
        <f t="shared" si="126"/>
        <v>#DIV/0!</v>
      </c>
      <c r="Q117" s="176"/>
      <c r="R117" s="49" t="e">
        <f t="shared" si="127"/>
        <v>#DIV/0!</v>
      </c>
      <c r="S117" s="176"/>
      <c r="T117" s="49" t="e">
        <f t="shared" si="87"/>
        <v>#DIV/0!</v>
      </c>
      <c r="U117" s="176"/>
      <c r="V117" s="49" t="e">
        <f t="shared" si="128"/>
        <v>#DIV/0!</v>
      </c>
      <c r="W117" s="176"/>
      <c r="X117" s="49" t="e">
        <f t="shared" si="129"/>
        <v>#DIV/0!</v>
      </c>
      <c r="Y117" s="176"/>
      <c r="Z117" s="49" t="e">
        <f t="shared" si="90"/>
        <v>#DIV/0!</v>
      </c>
      <c r="AA117" s="105">
        <f t="shared" si="130"/>
        <v>0</v>
      </c>
      <c r="AB117" s="49" t="e">
        <f t="shared" si="131"/>
        <v>#DIV/0!</v>
      </c>
      <c r="AC117" s="124">
        <f t="shared" si="91"/>
        <v>0</v>
      </c>
      <c r="AD117" s="49" t="e">
        <f t="shared" si="132"/>
        <v>#DIV/0!</v>
      </c>
      <c r="AE117" s="144"/>
      <c r="AF117" s="54"/>
      <c r="AH117" s="21">
        <f t="shared" si="93"/>
        <v>0</v>
      </c>
    </row>
    <row r="118" spans="1:34" s="289" customFormat="1">
      <c r="A118" s="2">
        <v>6404</v>
      </c>
      <c r="B118" s="147" t="s">
        <v>92</v>
      </c>
      <c r="C118" s="176"/>
      <c r="D118" s="49" t="e">
        <f t="shared" si="120"/>
        <v>#DIV/0!</v>
      </c>
      <c r="E118" s="176"/>
      <c r="F118" s="49" t="e">
        <f t="shared" si="121"/>
        <v>#DIV/0!</v>
      </c>
      <c r="G118" s="176"/>
      <c r="H118" s="49" t="e">
        <f t="shared" si="122"/>
        <v>#DIV/0!</v>
      </c>
      <c r="I118" s="176"/>
      <c r="J118" s="49" t="e">
        <f t="shared" si="123"/>
        <v>#DIV/0!</v>
      </c>
      <c r="K118" s="176"/>
      <c r="L118" s="49" t="e">
        <f t="shared" si="124"/>
        <v>#DIV/0!</v>
      </c>
      <c r="M118" s="176"/>
      <c r="N118" s="49" t="e">
        <f t="shared" si="125"/>
        <v>#DIV/0!</v>
      </c>
      <c r="O118" s="176"/>
      <c r="P118" s="49" t="e">
        <f t="shared" si="126"/>
        <v>#DIV/0!</v>
      </c>
      <c r="Q118" s="176"/>
      <c r="R118" s="49" t="e">
        <f t="shared" si="127"/>
        <v>#DIV/0!</v>
      </c>
      <c r="S118" s="176"/>
      <c r="T118" s="49" t="e">
        <f t="shared" si="87"/>
        <v>#DIV/0!</v>
      </c>
      <c r="U118" s="176"/>
      <c r="V118" s="49" t="e">
        <f t="shared" si="128"/>
        <v>#DIV/0!</v>
      </c>
      <c r="W118" s="176"/>
      <c r="X118" s="49" t="e">
        <f t="shared" si="129"/>
        <v>#DIV/0!</v>
      </c>
      <c r="Y118" s="176"/>
      <c r="Z118" s="49" t="e">
        <f t="shared" si="90"/>
        <v>#DIV/0!</v>
      </c>
      <c r="AA118" s="105">
        <f t="shared" si="130"/>
        <v>0</v>
      </c>
      <c r="AB118" s="108" t="e">
        <f t="shared" si="131"/>
        <v>#DIV/0!</v>
      </c>
      <c r="AC118" s="124">
        <f t="shared" si="91"/>
        <v>0</v>
      </c>
      <c r="AD118" s="92" t="e">
        <f t="shared" si="132"/>
        <v>#DIV/0!</v>
      </c>
      <c r="AE118" s="214"/>
      <c r="AF118" s="54"/>
      <c r="AH118" s="21">
        <f t="shared" si="93"/>
        <v>0</v>
      </c>
    </row>
    <row r="119" spans="1:34" s="289" customFormat="1">
      <c r="A119" s="2">
        <v>6406</v>
      </c>
      <c r="B119" s="147" t="s">
        <v>72</v>
      </c>
      <c r="C119" s="62"/>
      <c r="D119" s="49" t="e">
        <f t="shared" si="120"/>
        <v>#DIV/0!</v>
      </c>
      <c r="E119" s="62"/>
      <c r="F119" s="49" t="e">
        <f t="shared" si="121"/>
        <v>#DIV/0!</v>
      </c>
      <c r="G119" s="62"/>
      <c r="H119" s="49" t="e">
        <f t="shared" si="122"/>
        <v>#DIV/0!</v>
      </c>
      <c r="I119" s="62"/>
      <c r="J119" s="49" t="e">
        <f t="shared" si="123"/>
        <v>#DIV/0!</v>
      </c>
      <c r="K119" s="62"/>
      <c r="L119" s="49" t="e">
        <f t="shared" si="124"/>
        <v>#DIV/0!</v>
      </c>
      <c r="M119" s="62"/>
      <c r="N119" s="49" t="e">
        <f t="shared" si="125"/>
        <v>#DIV/0!</v>
      </c>
      <c r="O119" s="62"/>
      <c r="P119" s="49" t="e">
        <f t="shared" si="126"/>
        <v>#DIV/0!</v>
      </c>
      <c r="Q119" s="62"/>
      <c r="R119" s="49" t="e">
        <f t="shared" si="127"/>
        <v>#DIV/0!</v>
      </c>
      <c r="S119" s="62"/>
      <c r="T119" s="49" t="e">
        <f t="shared" si="87"/>
        <v>#DIV/0!</v>
      </c>
      <c r="U119" s="62"/>
      <c r="V119" s="49" t="e">
        <f t="shared" si="128"/>
        <v>#DIV/0!</v>
      </c>
      <c r="W119" s="62"/>
      <c r="X119" s="49" t="e">
        <f t="shared" si="129"/>
        <v>#DIV/0!</v>
      </c>
      <c r="Y119" s="62"/>
      <c r="Z119" s="49" t="e">
        <f t="shared" si="90"/>
        <v>#DIV/0!</v>
      </c>
      <c r="AA119" s="105">
        <f t="shared" si="130"/>
        <v>0</v>
      </c>
      <c r="AB119" s="108" t="e">
        <f t="shared" si="131"/>
        <v>#DIV/0!</v>
      </c>
      <c r="AC119" s="124">
        <f t="shared" si="91"/>
        <v>0</v>
      </c>
      <c r="AD119" s="92" t="e">
        <f t="shared" si="132"/>
        <v>#DIV/0!</v>
      </c>
      <c r="AE119" s="214"/>
      <c r="AF119" s="54"/>
      <c r="AH119" s="21">
        <f t="shared" si="93"/>
        <v>0</v>
      </c>
    </row>
    <row r="120" spans="1:34" s="289" customFormat="1">
      <c r="A120" s="2">
        <v>6407</v>
      </c>
      <c r="B120" s="147" t="s">
        <v>73</v>
      </c>
      <c r="C120" s="62"/>
      <c r="D120" s="49" t="e">
        <f t="shared" si="120"/>
        <v>#DIV/0!</v>
      </c>
      <c r="E120" s="62"/>
      <c r="F120" s="49" t="e">
        <f t="shared" si="121"/>
        <v>#DIV/0!</v>
      </c>
      <c r="G120" s="62"/>
      <c r="H120" s="49" t="e">
        <f t="shared" si="122"/>
        <v>#DIV/0!</v>
      </c>
      <c r="I120" s="62"/>
      <c r="J120" s="49" t="e">
        <f t="shared" si="123"/>
        <v>#DIV/0!</v>
      </c>
      <c r="K120" s="62"/>
      <c r="L120" s="49" t="e">
        <f t="shared" si="124"/>
        <v>#DIV/0!</v>
      </c>
      <c r="M120" s="62"/>
      <c r="N120" s="49" t="e">
        <f t="shared" si="125"/>
        <v>#DIV/0!</v>
      </c>
      <c r="O120" s="62"/>
      <c r="P120" s="49" t="e">
        <f t="shared" si="126"/>
        <v>#DIV/0!</v>
      </c>
      <c r="Q120" s="62"/>
      <c r="R120" s="49" t="e">
        <f t="shared" si="127"/>
        <v>#DIV/0!</v>
      </c>
      <c r="S120" s="62"/>
      <c r="T120" s="49" t="e">
        <f t="shared" si="87"/>
        <v>#DIV/0!</v>
      </c>
      <c r="U120" s="62"/>
      <c r="V120" s="49" t="e">
        <f t="shared" si="128"/>
        <v>#DIV/0!</v>
      </c>
      <c r="W120" s="62"/>
      <c r="X120" s="49" t="e">
        <f t="shared" si="129"/>
        <v>#DIV/0!</v>
      </c>
      <c r="Y120" s="62"/>
      <c r="Z120" s="49" t="e">
        <f t="shared" si="90"/>
        <v>#DIV/0!</v>
      </c>
      <c r="AA120" s="105">
        <f t="shared" si="130"/>
        <v>0</v>
      </c>
      <c r="AB120" s="108" t="e">
        <f t="shared" si="131"/>
        <v>#DIV/0!</v>
      </c>
      <c r="AC120" s="124">
        <f t="shared" si="91"/>
        <v>0</v>
      </c>
      <c r="AD120" s="92" t="e">
        <f t="shared" si="132"/>
        <v>#DIV/0!</v>
      </c>
      <c r="AE120" s="214"/>
      <c r="AF120" s="54"/>
      <c r="AH120" s="21">
        <f t="shared" si="93"/>
        <v>0</v>
      </c>
    </row>
    <row r="121" spans="1:34" s="289" customFormat="1">
      <c r="A121" s="2">
        <v>6408</v>
      </c>
      <c r="B121" s="147" t="s">
        <v>42</v>
      </c>
      <c r="C121" s="62"/>
      <c r="D121" s="49" t="e">
        <f t="shared" si="120"/>
        <v>#DIV/0!</v>
      </c>
      <c r="E121" s="62"/>
      <c r="F121" s="49" t="e">
        <f t="shared" si="121"/>
        <v>#DIV/0!</v>
      </c>
      <c r="G121" s="62"/>
      <c r="H121" s="49" t="e">
        <f t="shared" si="122"/>
        <v>#DIV/0!</v>
      </c>
      <c r="I121" s="62"/>
      <c r="J121" s="49" t="e">
        <f t="shared" si="123"/>
        <v>#DIV/0!</v>
      </c>
      <c r="K121" s="62"/>
      <c r="L121" s="49" t="e">
        <f t="shared" si="124"/>
        <v>#DIV/0!</v>
      </c>
      <c r="M121" s="62"/>
      <c r="N121" s="49" t="e">
        <f t="shared" si="125"/>
        <v>#DIV/0!</v>
      </c>
      <c r="O121" s="62"/>
      <c r="P121" s="49" t="e">
        <f t="shared" si="126"/>
        <v>#DIV/0!</v>
      </c>
      <c r="Q121" s="62"/>
      <c r="R121" s="49" t="e">
        <f t="shared" si="127"/>
        <v>#DIV/0!</v>
      </c>
      <c r="S121" s="62"/>
      <c r="T121" s="49" t="e">
        <f t="shared" si="87"/>
        <v>#DIV/0!</v>
      </c>
      <c r="U121" s="62"/>
      <c r="V121" s="49" t="e">
        <f t="shared" si="128"/>
        <v>#DIV/0!</v>
      </c>
      <c r="W121" s="62"/>
      <c r="X121" s="49" t="e">
        <f t="shared" si="129"/>
        <v>#DIV/0!</v>
      </c>
      <c r="Y121" s="62"/>
      <c r="Z121" s="49" t="e">
        <f t="shared" si="90"/>
        <v>#DIV/0!</v>
      </c>
      <c r="AA121" s="105">
        <f t="shared" si="130"/>
        <v>0</v>
      </c>
      <c r="AB121" s="108" t="e">
        <f t="shared" si="131"/>
        <v>#DIV/0!</v>
      </c>
      <c r="AC121" s="124">
        <f t="shared" si="91"/>
        <v>0</v>
      </c>
      <c r="AD121" s="92" t="e">
        <f t="shared" si="132"/>
        <v>#DIV/0!</v>
      </c>
      <c r="AE121" s="214"/>
      <c r="AF121" s="54"/>
      <c r="AH121" s="21">
        <f t="shared" si="93"/>
        <v>0</v>
      </c>
    </row>
    <row r="122" spans="1:34" s="289" customFormat="1">
      <c r="A122" s="2">
        <v>6410</v>
      </c>
      <c r="B122" s="147" t="s">
        <v>105</v>
      </c>
      <c r="C122" s="62"/>
      <c r="D122" s="49" t="e">
        <f t="shared" si="120"/>
        <v>#DIV/0!</v>
      </c>
      <c r="E122" s="62"/>
      <c r="F122" s="49" t="e">
        <f t="shared" si="120"/>
        <v>#DIV/0!</v>
      </c>
      <c r="G122" s="62"/>
      <c r="H122" s="49" t="e">
        <f t="shared" si="120"/>
        <v>#DIV/0!</v>
      </c>
      <c r="I122" s="62"/>
      <c r="J122" s="49" t="e">
        <f t="shared" si="120"/>
        <v>#DIV/0!</v>
      </c>
      <c r="K122" s="62"/>
      <c r="L122" s="49" t="e">
        <f t="shared" si="120"/>
        <v>#DIV/0!</v>
      </c>
      <c r="M122" s="62"/>
      <c r="N122" s="49" t="e">
        <f t="shared" si="120"/>
        <v>#DIV/0!</v>
      </c>
      <c r="O122" s="62"/>
      <c r="P122" s="49" t="e">
        <f t="shared" si="120"/>
        <v>#DIV/0!</v>
      </c>
      <c r="Q122" s="62"/>
      <c r="R122" s="49" t="e">
        <f t="shared" si="120"/>
        <v>#DIV/0!</v>
      </c>
      <c r="S122" s="62"/>
      <c r="T122" s="49" t="e">
        <f t="shared" si="120"/>
        <v>#DIV/0!</v>
      </c>
      <c r="U122" s="62"/>
      <c r="V122" s="49" t="e">
        <f t="shared" si="120"/>
        <v>#DIV/0!</v>
      </c>
      <c r="W122" s="62"/>
      <c r="X122" s="49" t="e">
        <f t="shared" si="120"/>
        <v>#DIV/0!</v>
      </c>
      <c r="Y122" s="62"/>
      <c r="Z122" s="49" t="e">
        <f t="shared" si="120"/>
        <v>#DIV/0!</v>
      </c>
      <c r="AA122" s="105">
        <f t="shared" si="130"/>
        <v>0</v>
      </c>
      <c r="AB122" s="49" t="e">
        <f t="shared" si="120"/>
        <v>#DIV/0!</v>
      </c>
      <c r="AC122" s="124">
        <f t="shared" si="91"/>
        <v>0</v>
      </c>
      <c r="AD122" s="49" t="e">
        <f t="shared" si="120"/>
        <v>#DIV/0!</v>
      </c>
      <c r="AE122" s="214"/>
      <c r="AF122" s="54"/>
      <c r="AH122" s="21">
        <f t="shared" si="93"/>
        <v>0</v>
      </c>
    </row>
    <row r="123" spans="1:34" s="289" customFormat="1">
      <c r="A123" s="2">
        <v>6411</v>
      </c>
      <c r="B123" s="147" t="s">
        <v>117</v>
      </c>
      <c r="C123" s="62"/>
      <c r="D123" s="49" t="e">
        <f t="shared" si="120"/>
        <v>#DIV/0!</v>
      </c>
      <c r="E123" s="62"/>
      <c r="F123" s="49" t="e">
        <f t="shared" si="120"/>
        <v>#DIV/0!</v>
      </c>
      <c r="G123" s="62"/>
      <c r="H123" s="49" t="e">
        <f t="shared" si="120"/>
        <v>#DIV/0!</v>
      </c>
      <c r="I123" s="62"/>
      <c r="J123" s="49" t="e">
        <f t="shared" si="120"/>
        <v>#DIV/0!</v>
      </c>
      <c r="K123" s="62"/>
      <c r="L123" s="49" t="e">
        <f t="shared" si="120"/>
        <v>#DIV/0!</v>
      </c>
      <c r="M123" s="62"/>
      <c r="N123" s="49" t="e">
        <f t="shared" si="120"/>
        <v>#DIV/0!</v>
      </c>
      <c r="O123" s="62"/>
      <c r="P123" s="49" t="e">
        <f t="shared" si="120"/>
        <v>#DIV/0!</v>
      </c>
      <c r="Q123" s="62"/>
      <c r="R123" s="49" t="e">
        <f t="shared" si="120"/>
        <v>#DIV/0!</v>
      </c>
      <c r="S123" s="62"/>
      <c r="T123" s="49" t="e">
        <f t="shared" si="120"/>
        <v>#DIV/0!</v>
      </c>
      <c r="U123" s="62"/>
      <c r="V123" s="49" t="e">
        <f t="shared" si="120"/>
        <v>#DIV/0!</v>
      </c>
      <c r="W123" s="62"/>
      <c r="X123" s="49" t="e">
        <f t="shared" si="120"/>
        <v>#DIV/0!</v>
      </c>
      <c r="Y123" s="62"/>
      <c r="Z123" s="49" t="e">
        <f t="shared" si="120"/>
        <v>#DIV/0!</v>
      </c>
      <c r="AA123" s="105">
        <f t="shared" si="130"/>
        <v>0</v>
      </c>
      <c r="AB123" s="49" t="e">
        <f t="shared" si="120"/>
        <v>#DIV/0!</v>
      </c>
      <c r="AC123" s="124">
        <f t="shared" si="91"/>
        <v>0</v>
      </c>
      <c r="AD123" s="49" t="e">
        <f t="shared" si="120"/>
        <v>#DIV/0!</v>
      </c>
      <c r="AE123" s="214"/>
      <c r="AF123" s="54"/>
      <c r="AH123" s="21">
        <f t="shared" si="93"/>
        <v>0</v>
      </c>
    </row>
    <row r="124" spans="1:34" s="289" customFormat="1">
      <c r="A124" s="2">
        <v>6412</v>
      </c>
      <c r="B124" s="147" t="s">
        <v>93</v>
      </c>
      <c r="C124" s="62"/>
      <c r="D124" s="49" t="e">
        <f>C124/C$12</f>
        <v>#DIV/0!</v>
      </c>
      <c r="E124" s="62"/>
      <c r="F124" s="49" t="e">
        <f>E124/E$12</f>
        <v>#DIV/0!</v>
      </c>
      <c r="G124" s="62"/>
      <c r="H124" s="49" t="e">
        <f>G124/G$12</f>
        <v>#DIV/0!</v>
      </c>
      <c r="I124" s="62"/>
      <c r="J124" s="49" t="e">
        <f>I124/I$12</f>
        <v>#DIV/0!</v>
      </c>
      <c r="K124" s="62"/>
      <c r="L124" s="49" t="e">
        <f>K124/K$12</f>
        <v>#DIV/0!</v>
      </c>
      <c r="M124" s="62"/>
      <c r="N124" s="49" t="e">
        <f>M124/M$12</f>
        <v>#DIV/0!</v>
      </c>
      <c r="O124" s="62"/>
      <c r="P124" s="49" t="e">
        <f>O124/O$12</f>
        <v>#DIV/0!</v>
      </c>
      <c r="Q124" s="62"/>
      <c r="R124" s="49" t="e">
        <f>Q124/Q$12</f>
        <v>#DIV/0!</v>
      </c>
      <c r="S124" s="62"/>
      <c r="T124" s="49" t="e">
        <f>S124/S$12</f>
        <v>#DIV/0!</v>
      </c>
      <c r="U124" s="62"/>
      <c r="V124" s="49" t="e">
        <f>U124/U$12</f>
        <v>#DIV/0!</v>
      </c>
      <c r="W124" s="62"/>
      <c r="X124" s="49" t="e">
        <f>W124/W$12</f>
        <v>#DIV/0!</v>
      </c>
      <c r="Y124" s="62"/>
      <c r="Z124" s="49" t="e">
        <f>Y124/Y$12</f>
        <v>#DIV/0!</v>
      </c>
      <c r="AA124" s="105">
        <f t="shared" si="130"/>
        <v>0</v>
      </c>
      <c r="AB124" s="49" t="e">
        <f>AA124/AA$12</f>
        <v>#DIV/0!</v>
      </c>
      <c r="AC124" s="124">
        <f t="shared" si="91"/>
        <v>0</v>
      </c>
      <c r="AD124" s="49" t="e">
        <f>AC124/AC$12</f>
        <v>#DIV/0!</v>
      </c>
      <c r="AE124" s="214"/>
      <c r="AF124" s="54"/>
      <c r="AH124" s="21">
        <f t="shared" si="93"/>
        <v>0</v>
      </c>
    </row>
    <row r="125" spans="1:34" s="289" customFormat="1">
      <c r="A125" s="128">
        <v>6413</v>
      </c>
      <c r="B125" s="20" t="s">
        <v>41</v>
      </c>
      <c r="C125" s="62"/>
      <c r="D125" s="49" t="e">
        <f>C125/C$12</f>
        <v>#DIV/0!</v>
      </c>
      <c r="E125" s="62"/>
      <c r="F125" s="49" t="e">
        <f>E125/E$12</f>
        <v>#DIV/0!</v>
      </c>
      <c r="G125" s="62"/>
      <c r="H125" s="49" t="e">
        <f>G125/G$12</f>
        <v>#DIV/0!</v>
      </c>
      <c r="I125" s="62"/>
      <c r="J125" s="49" t="e">
        <f>I125/I$12</f>
        <v>#DIV/0!</v>
      </c>
      <c r="K125" s="62"/>
      <c r="L125" s="49" t="e">
        <f>K125/K$12</f>
        <v>#DIV/0!</v>
      </c>
      <c r="M125" s="62"/>
      <c r="N125" s="49" t="e">
        <f>M125/M$12</f>
        <v>#DIV/0!</v>
      </c>
      <c r="O125" s="62"/>
      <c r="P125" s="49" t="e">
        <f>O125/O$12</f>
        <v>#DIV/0!</v>
      </c>
      <c r="Q125" s="62"/>
      <c r="R125" s="49" t="e">
        <f>Q125/Q$12</f>
        <v>#DIV/0!</v>
      </c>
      <c r="S125" s="62"/>
      <c r="T125" s="49" t="e">
        <f>S125/S$12</f>
        <v>#DIV/0!</v>
      </c>
      <c r="U125" s="62"/>
      <c r="V125" s="49" t="e">
        <f>U125/U$12</f>
        <v>#DIV/0!</v>
      </c>
      <c r="W125" s="62"/>
      <c r="X125" s="49" t="e">
        <f>W125/W$12</f>
        <v>#DIV/0!</v>
      </c>
      <c r="Y125" s="62"/>
      <c r="Z125" s="49" t="e">
        <f>Y125/Y$12</f>
        <v>#DIV/0!</v>
      </c>
      <c r="AA125" s="105">
        <f t="shared" si="130"/>
        <v>0</v>
      </c>
      <c r="AB125" s="108" t="e">
        <f>AA125/AA$12</f>
        <v>#DIV/0!</v>
      </c>
      <c r="AC125" s="124">
        <f t="shared" si="91"/>
        <v>0</v>
      </c>
      <c r="AD125" s="92" t="e">
        <f>AC125/AC$12</f>
        <v>#DIV/0!</v>
      </c>
      <c r="AE125" s="214" t="s">
        <v>182</v>
      </c>
      <c r="AF125" s="205"/>
      <c r="AH125" s="21">
        <f t="shared" si="93"/>
        <v>0</v>
      </c>
    </row>
    <row r="126" spans="1:34" s="289" customFormat="1">
      <c r="A126" s="2">
        <v>6414</v>
      </c>
      <c r="B126" s="147" t="s">
        <v>43</v>
      </c>
      <c r="C126" s="62"/>
      <c r="D126" s="49" t="e">
        <f>C126/C$12</f>
        <v>#DIV/0!</v>
      </c>
      <c r="E126" s="62"/>
      <c r="F126" s="49" t="e">
        <f>E126/E$12</f>
        <v>#DIV/0!</v>
      </c>
      <c r="G126" s="62"/>
      <c r="H126" s="49" t="e">
        <f>G126/G$12</f>
        <v>#DIV/0!</v>
      </c>
      <c r="I126" s="62"/>
      <c r="J126" s="49" t="e">
        <f>I126/I$12</f>
        <v>#DIV/0!</v>
      </c>
      <c r="K126" s="62"/>
      <c r="L126" s="49" t="e">
        <f>K126/K$12</f>
        <v>#DIV/0!</v>
      </c>
      <c r="M126" s="62"/>
      <c r="N126" s="49" t="e">
        <f>M126/M$12</f>
        <v>#DIV/0!</v>
      </c>
      <c r="O126" s="62"/>
      <c r="P126" s="49" t="e">
        <f>O126/O$12</f>
        <v>#DIV/0!</v>
      </c>
      <c r="Q126" s="62"/>
      <c r="R126" s="49" t="e">
        <f>Q126/Q$12</f>
        <v>#DIV/0!</v>
      </c>
      <c r="S126" s="62"/>
      <c r="T126" s="49" t="e">
        <f>S126/S$12</f>
        <v>#DIV/0!</v>
      </c>
      <c r="U126" s="62"/>
      <c r="V126" s="49" t="e">
        <f>U126/U$12</f>
        <v>#DIV/0!</v>
      </c>
      <c r="W126" s="62"/>
      <c r="X126" s="49" t="e">
        <f>W126/W$12</f>
        <v>#DIV/0!</v>
      </c>
      <c r="Y126" s="62"/>
      <c r="Z126" s="49" t="e">
        <f>Y126/Y$12</f>
        <v>#DIV/0!</v>
      </c>
      <c r="AA126" s="105">
        <f t="shared" si="130"/>
        <v>0</v>
      </c>
      <c r="AB126" s="108" t="e">
        <f>AA126/AA$12</f>
        <v>#DIV/0!</v>
      </c>
      <c r="AC126" s="124">
        <f t="shared" si="91"/>
        <v>0</v>
      </c>
      <c r="AD126" s="92" t="e">
        <f>AC126/AC$12</f>
        <v>#DIV/0!</v>
      </c>
      <c r="AE126" s="214" t="s">
        <v>181</v>
      </c>
      <c r="AF126" s="54"/>
      <c r="AH126" s="21">
        <f t="shared" si="93"/>
        <v>0</v>
      </c>
    </row>
    <row r="127" spans="1:34" s="289" customFormat="1">
      <c r="A127" s="2">
        <v>6415</v>
      </c>
      <c r="B127" s="147" t="s">
        <v>44</v>
      </c>
      <c r="C127" s="62"/>
      <c r="D127" s="49" t="e">
        <f>C127/C$12</f>
        <v>#DIV/0!</v>
      </c>
      <c r="E127" s="62"/>
      <c r="F127" s="49" t="e">
        <f>E127/E$12</f>
        <v>#DIV/0!</v>
      </c>
      <c r="G127" s="62"/>
      <c r="H127" s="49" t="e">
        <f>G127/G$12</f>
        <v>#DIV/0!</v>
      </c>
      <c r="I127" s="62"/>
      <c r="J127" s="49" t="e">
        <f>I127/I$12</f>
        <v>#DIV/0!</v>
      </c>
      <c r="K127" s="62"/>
      <c r="L127" s="49" t="e">
        <f>K127/K$12</f>
        <v>#DIV/0!</v>
      </c>
      <c r="M127" s="62"/>
      <c r="N127" s="49" t="e">
        <f>M127/M$12</f>
        <v>#DIV/0!</v>
      </c>
      <c r="O127" s="62"/>
      <c r="P127" s="49" t="e">
        <f>O127/O$12</f>
        <v>#DIV/0!</v>
      </c>
      <c r="Q127" s="62"/>
      <c r="R127" s="49" t="e">
        <f>Q127/Q$12</f>
        <v>#DIV/0!</v>
      </c>
      <c r="S127" s="62"/>
      <c r="T127" s="49" t="e">
        <f>S127/S$12</f>
        <v>#DIV/0!</v>
      </c>
      <c r="U127" s="62"/>
      <c r="V127" s="49" t="e">
        <f>U127/U$12</f>
        <v>#DIV/0!</v>
      </c>
      <c r="W127" s="62"/>
      <c r="X127" s="49" t="e">
        <f>W127/W$12</f>
        <v>#DIV/0!</v>
      </c>
      <c r="Y127" s="62"/>
      <c r="Z127" s="49" t="e">
        <f>Y127/Y$12</f>
        <v>#DIV/0!</v>
      </c>
      <c r="AA127" s="105">
        <f t="shared" si="130"/>
        <v>0</v>
      </c>
      <c r="AB127" s="108" t="e">
        <f>AA127/AA$12</f>
        <v>#DIV/0!</v>
      </c>
      <c r="AC127" s="124">
        <f t="shared" si="91"/>
        <v>0</v>
      </c>
      <c r="AD127" s="92" t="e">
        <f>AC127/AC$12</f>
        <v>#DIV/0!</v>
      </c>
      <c r="AE127" s="214"/>
      <c r="AF127" s="54"/>
      <c r="AH127" s="21">
        <f t="shared" si="93"/>
        <v>0</v>
      </c>
    </row>
    <row r="128" spans="1:34" s="289" customFormat="1" ht="15.75" thickBot="1">
      <c r="A128" s="4">
        <v>6499</v>
      </c>
      <c r="B128" s="4" t="s">
        <v>116</v>
      </c>
      <c r="C128" s="56">
        <f>SUM(C116:C127)</f>
        <v>0</v>
      </c>
      <c r="D128" s="71" t="e">
        <f>C128/C12</f>
        <v>#DIV/0!</v>
      </c>
      <c r="E128" s="56">
        <f>SUM(E116:E127)</f>
        <v>0</v>
      </c>
      <c r="F128" s="71" t="e">
        <f>E128/E12</f>
        <v>#DIV/0!</v>
      </c>
      <c r="G128" s="56">
        <f>SUM(G116:G127)</f>
        <v>0</v>
      </c>
      <c r="H128" s="71" t="e">
        <f>G128/G12</f>
        <v>#DIV/0!</v>
      </c>
      <c r="I128" s="56">
        <f>SUM(I116:I127)</f>
        <v>0</v>
      </c>
      <c r="J128" s="71" t="e">
        <f>I128/I12</f>
        <v>#DIV/0!</v>
      </c>
      <c r="K128" s="56">
        <f>SUM(K116:K127)</f>
        <v>0</v>
      </c>
      <c r="L128" s="71" t="e">
        <f>K128/K12</f>
        <v>#DIV/0!</v>
      </c>
      <c r="M128" s="56">
        <f>SUM(M116:M127)</f>
        <v>0</v>
      </c>
      <c r="N128" s="71" t="e">
        <f>M128/M12</f>
        <v>#DIV/0!</v>
      </c>
      <c r="O128" s="56">
        <f>SUM(O116:O127)</f>
        <v>0</v>
      </c>
      <c r="P128" s="71" t="e">
        <f>O128/O12</f>
        <v>#DIV/0!</v>
      </c>
      <c r="Q128" s="56">
        <f>SUM(Q116:Q127)</f>
        <v>0</v>
      </c>
      <c r="R128" s="71" t="e">
        <f>Q128/Q12</f>
        <v>#DIV/0!</v>
      </c>
      <c r="S128" s="56">
        <f>SUM(S116:S127)</f>
        <v>0</v>
      </c>
      <c r="T128" s="71" t="e">
        <f>S128/S$12</f>
        <v>#DIV/0!</v>
      </c>
      <c r="U128" s="56">
        <f>SUM(U116:U127)</f>
        <v>0</v>
      </c>
      <c r="V128" s="71" t="e">
        <f>U128/U12</f>
        <v>#DIV/0!</v>
      </c>
      <c r="W128" s="56">
        <f>SUM(W116:W127)</f>
        <v>0</v>
      </c>
      <c r="X128" s="71" t="e">
        <f>W128/W12</f>
        <v>#DIV/0!</v>
      </c>
      <c r="Y128" s="56">
        <f>SUM(Y116:Y127)</f>
        <v>0</v>
      </c>
      <c r="Z128" s="71" t="e">
        <f>Y128/Y$12</f>
        <v>#DIV/0!</v>
      </c>
      <c r="AA128" s="109">
        <f>SUM(AA116:AA127)</f>
        <v>0</v>
      </c>
      <c r="AB128" s="110" t="e">
        <f>AA128/AA$12</f>
        <v>#DIV/0!</v>
      </c>
      <c r="AC128" s="93">
        <f t="shared" si="91"/>
        <v>0</v>
      </c>
      <c r="AD128" s="94" t="e">
        <f>AC128/AC$12</f>
        <v>#DIV/0!</v>
      </c>
      <c r="AE128" s="218"/>
      <c r="AF128" s="219"/>
      <c r="AG128" s="209"/>
      <c r="AH128" s="21">
        <f t="shared" si="93"/>
        <v>0</v>
      </c>
    </row>
    <row r="129" spans="1:35" s="289" customFormat="1" ht="15.75" thickTop="1">
      <c r="A129" s="139"/>
      <c r="B129" s="139"/>
      <c r="C129" s="62"/>
      <c r="D129" s="82"/>
      <c r="E129" s="62"/>
      <c r="F129" s="82"/>
      <c r="G129" s="62"/>
      <c r="H129" s="82"/>
      <c r="I129" s="62"/>
      <c r="J129" s="82"/>
      <c r="K129" s="62"/>
      <c r="L129" s="82"/>
      <c r="M129" s="62"/>
      <c r="N129" s="82"/>
      <c r="O129" s="62"/>
      <c r="P129" s="82"/>
      <c r="Q129" s="62"/>
      <c r="R129" s="82"/>
      <c r="S129" s="62"/>
      <c r="T129" s="82"/>
      <c r="U129" s="62"/>
      <c r="V129" s="82"/>
      <c r="W129" s="62"/>
      <c r="X129" s="82"/>
      <c r="Y129" s="62"/>
      <c r="Z129" s="82"/>
      <c r="AA129" s="45"/>
      <c r="AB129" s="82"/>
      <c r="AC129" s="45">
        <f t="shared" si="91"/>
        <v>0</v>
      </c>
      <c r="AD129" s="82"/>
      <c r="AE129" s="138"/>
      <c r="AF129" s="54"/>
      <c r="AH129" s="21">
        <f t="shared" si="93"/>
        <v>0</v>
      </c>
    </row>
    <row r="130" spans="1:35" s="289" customFormat="1" ht="15.75" thickBot="1">
      <c r="A130" s="142"/>
      <c r="B130" s="153" t="s">
        <v>187</v>
      </c>
      <c r="C130" s="177">
        <f>C37-C41-C76-C93-C115-C128</f>
        <v>0</v>
      </c>
      <c r="D130" s="161" t="e">
        <f>C130/C12</f>
        <v>#DIV/0!</v>
      </c>
      <c r="E130" s="177">
        <f>E37-E41-E76-E93-E115-E128</f>
        <v>0</v>
      </c>
      <c r="F130" s="161" t="e">
        <f>E130/E12</f>
        <v>#DIV/0!</v>
      </c>
      <c r="G130" s="177">
        <f>G37-G41-G76-G93-G115-G128</f>
        <v>0</v>
      </c>
      <c r="H130" s="161" t="e">
        <f>G130/G12</f>
        <v>#DIV/0!</v>
      </c>
      <c r="I130" s="177">
        <f>I37-I41-I76-I93-I115-I128</f>
        <v>0</v>
      </c>
      <c r="J130" s="161" t="e">
        <f>I130/I12</f>
        <v>#DIV/0!</v>
      </c>
      <c r="K130" s="177">
        <f>K37-K41-K76-K93-K115-K128</f>
        <v>0</v>
      </c>
      <c r="L130" s="161" t="e">
        <f>K130/K12</f>
        <v>#DIV/0!</v>
      </c>
      <c r="M130" s="177">
        <f>M37-M41-M76-M93-M115-M128</f>
        <v>0</v>
      </c>
      <c r="N130" s="161" t="e">
        <f>M130/M12</f>
        <v>#DIV/0!</v>
      </c>
      <c r="O130" s="177">
        <f>O37-O41-O76-O93-O115-O128</f>
        <v>0</v>
      </c>
      <c r="P130" s="161" t="e">
        <f>O130/O12</f>
        <v>#DIV/0!</v>
      </c>
      <c r="Q130" s="177">
        <f>Q37-Q41-Q76-Q93-Q115-Q128</f>
        <v>0</v>
      </c>
      <c r="R130" s="161" t="e">
        <f>Q130/Q12</f>
        <v>#DIV/0!</v>
      </c>
      <c r="S130" s="177">
        <f>S37-S41-S76-S93-S115-S128</f>
        <v>0</v>
      </c>
      <c r="T130" s="161" t="e">
        <f>S130/S12</f>
        <v>#DIV/0!</v>
      </c>
      <c r="U130" s="177">
        <f>U37-U41-U76-U93-U115-U128</f>
        <v>0</v>
      </c>
      <c r="V130" s="161" t="e">
        <f>U130/U12</f>
        <v>#DIV/0!</v>
      </c>
      <c r="W130" s="177">
        <f>W37-W41-W76-W93-W115-W128</f>
        <v>0</v>
      </c>
      <c r="X130" s="161" t="e">
        <f>W130/W12</f>
        <v>#DIV/0!</v>
      </c>
      <c r="Y130" s="177">
        <f>Y37-Y41-Y76-Y93-Y115-Y128</f>
        <v>0</v>
      </c>
      <c r="Z130" s="161" t="e">
        <f>Y130/Y12</f>
        <v>#DIV/0!</v>
      </c>
      <c r="AA130" s="155">
        <f>AA37-AA41-AA76-AA93-AA115-AA128</f>
        <v>0</v>
      </c>
      <c r="AB130" s="161" t="e">
        <f>AA130/AA12</f>
        <v>#DIV/0!</v>
      </c>
      <c r="AC130" s="159">
        <f t="shared" si="91"/>
        <v>0</v>
      </c>
      <c r="AD130" s="161" t="e">
        <f>AC130/AC12</f>
        <v>#DIV/0!</v>
      </c>
      <c r="AE130" s="161"/>
      <c r="AF130" s="219"/>
      <c r="AG130" s="209"/>
      <c r="AH130" s="21">
        <f t="shared" si="93"/>
        <v>0</v>
      </c>
    </row>
    <row r="131" spans="1:35" s="289" customFormat="1" ht="15.75" thickTop="1">
      <c r="B131" s="20"/>
      <c r="C131" s="167"/>
      <c r="D131" s="19"/>
      <c r="E131" s="167"/>
      <c r="F131" s="19"/>
      <c r="G131" s="167"/>
      <c r="H131" s="19"/>
      <c r="I131" s="167"/>
      <c r="J131" s="19"/>
      <c r="K131" s="167"/>
      <c r="L131" s="19"/>
      <c r="M131" s="167"/>
      <c r="N131" s="19"/>
      <c r="O131" s="167"/>
      <c r="P131" s="19"/>
      <c r="Q131" s="167"/>
      <c r="R131" s="19"/>
      <c r="S131" s="167"/>
      <c r="T131" s="19"/>
      <c r="U131" s="167"/>
      <c r="V131" s="19"/>
      <c r="W131" s="167"/>
      <c r="X131" s="19"/>
      <c r="Y131" s="167"/>
      <c r="Z131" s="19"/>
      <c r="AC131" s="134">
        <f t="shared" si="91"/>
        <v>0</v>
      </c>
      <c r="AD131" s="19"/>
      <c r="AE131" s="134"/>
      <c r="AF131" s="54"/>
      <c r="AH131" s="21">
        <f t="shared" si="93"/>
        <v>0</v>
      </c>
    </row>
    <row r="132" spans="1:35" s="289" customFormat="1" ht="15.75" thickBot="1">
      <c r="A132" s="158"/>
      <c r="B132" s="4" t="s">
        <v>140</v>
      </c>
      <c r="C132" s="170"/>
      <c r="D132" s="171"/>
      <c r="E132" s="170"/>
      <c r="F132" s="171"/>
      <c r="G132" s="170"/>
      <c r="H132" s="171"/>
      <c r="I132" s="170"/>
      <c r="J132" s="171"/>
      <c r="K132" s="170"/>
      <c r="L132" s="171"/>
      <c r="M132" s="170"/>
      <c r="N132" s="171"/>
      <c r="O132" s="170"/>
      <c r="P132" s="171"/>
      <c r="Q132" s="170"/>
      <c r="R132" s="171"/>
      <c r="S132" s="170"/>
      <c r="T132" s="171"/>
      <c r="U132" s="170"/>
      <c r="V132" s="171"/>
      <c r="W132" s="170"/>
      <c r="X132" s="171"/>
      <c r="Y132" s="170"/>
      <c r="Z132" s="171"/>
      <c r="AA132" s="172">
        <f>C132+E132+G132+I132+K132+M132+O132+Q132+S132+U132+W132+Y132</f>
        <v>0</v>
      </c>
      <c r="AB132" s="171" t="e">
        <f>AA132/AA$12</f>
        <v>#DIV/0!</v>
      </c>
      <c r="AC132" s="172">
        <f t="shared" si="91"/>
        <v>0</v>
      </c>
      <c r="AD132" s="171" t="e">
        <f>AC132/AC$12</f>
        <v>#DIV/0!</v>
      </c>
      <c r="AE132" s="224"/>
      <c r="AF132" s="219"/>
      <c r="AG132" s="209"/>
      <c r="AH132" s="21">
        <f t="shared" si="93"/>
        <v>0</v>
      </c>
    </row>
    <row r="133" spans="1:35" s="289" customFormat="1" ht="15.75" customHeight="1" thickTop="1">
      <c r="B133" s="139"/>
      <c r="C133" s="167"/>
      <c r="D133" s="19"/>
      <c r="E133" s="167"/>
      <c r="F133" s="19"/>
      <c r="G133" s="167"/>
      <c r="H133" s="19"/>
      <c r="I133" s="167"/>
      <c r="J133" s="19"/>
      <c r="K133" s="167"/>
      <c r="L133" s="19"/>
      <c r="M133" s="167"/>
      <c r="N133" s="19"/>
      <c r="O133" s="167"/>
      <c r="P133" s="19"/>
      <c r="Q133" s="167"/>
      <c r="R133" s="19"/>
      <c r="S133" s="167"/>
      <c r="T133" s="19"/>
      <c r="U133" s="167"/>
      <c r="V133" s="19"/>
      <c r="W133" s="167"/>
      <c r="X133" s="19"/>
      <c r="Y133" s="167"/>
      <c r="Z133" s="19"/>
      <c r="AC133" s="134">
        <f t="shared" si="91"/>
        <v>0</v>
      </c>
      <c r="AD133" s="19"/>
      <c r="AE133" s="134"/>
      <c r="AF133" s="54"/>
      <c r="AH133" s="21">
        <f t="shared" si="93"/>
        <v>0</v>
      </c>
    </row>
    <row r="134" spans="1:35" s="289" customFormat="1" ht="15.75" customHeight="1" thickBot="1">
      <c r="A134" s="4"/>
      <c r="B134" s="4" t="s">
        <v>131</v>
      </c>
      <c r="C134" s="56">
        <f>C130-C132</f>
        <v>0</v>
      </c>
      <c r="D134" s="71" t="e">
        <f>C134/C12</f>
        <v>#DIV/0!</v>
      </c>
      <c r="E134" s="56">
        <f>E130-E132</f>
        <v>0</v>
      </c>
      <c r="F134" s="71" t="e">
        <f>E134/E12</f>
        <v>#DIV/0!</v>
      </c>
      <c r="G134" s="56">
        <f>G130-G132</f>
        <v>0</v>
      </c>
      <c r="H134" s="71" t="e">
        <f>G134/G12</f>
        <v>#DIV/0!</v>
      </c>
      <c r="I134" s="56">
        <f>I130-I132</f>
        <v>0</v>
      </c>
      <c r="J134" s="71" t="e">
        <f>I134/I12</f>
        <v>#DIV/0!</v>
      </c>
      <c r="K134" s="56">
        <f>K130-K132</f>
        <v>0</v>
      </c>
      <c r="L134" s="71" t="e">
        <f>K134/K12</f>
        <v>#DIV/0!</v>
      </c>
      <c r="M134" s="56">
        <f>M130-M132</f>
        <v>0</v>
      </c>
      <c r="N134" s="71" t="e">
        <f>M134/M12</f>
        <v>#DIV/0!</v>
      </c>
      <c r="O134" s="56">
        <f>O130-O132</f>
        <v>0</v>
      </c>
      <c r="P134" s="71" t="e">
        <f>O134/O12</f>
        <v>#DIV/0!</v>
      </c>
      <c r="Q134" s="56">
        <f>Q130-Q132</f>
        <v>0</v>
      </c>
      <c r="R134" s="71" t="e">
        <f>Q134/Q12</f>
        <v>#DIV/0!</v>
      </c>
      <c r="S134" s="56">
        <f>S130-S132</f>
        <v>0</v>
      </c>
      <c r="T134" s="71" t="e">
        <f>S134/S12</f>
        <v>#DIV/0!</v>
      </c>
      <c r="U134" s="56">
        <f>U130-U132</f>
        <v>0</v>
      </c>
      <c r="V134" s="71" t="e">
        <f>U134/U12</f>
        <v>#DIV/0!</v>
      </c>
      <c r="W134" s="56">
        <f>W130-W132</f>
        <v>0</v>
      </c>
      <c r="X134" s="71" t="e">
        <f>W134/W12</f>
        <v>#DIV/0!</v>
      </c>
      <c r="Y134" s="56">
        <f>Y130-Y132</f>
        <v>0</v>
      </c>
      <c r="Z134" s="71" t="e">
        <f>Y134/Y12</f>
        <v>#DIV/0!</v>
      </c>
      <c r="AA134" s="38">
        <f>AA130-AA132</f>
        <v>0</v>
      </c>
      <c r="AB134" s="76" t="e">
        <f>AA134/AA12</f>
        <v>#DIV/0!</v>
      </c>
      <c r="AC134" s="38">
        <f t="shared" si="91"/>
        <v>0</v>
      </c>
      <c r="AD134" s="71" t="e">
        <f>AC134/AC12</f>
        <v>#DIV/0!</v>
      </c>
      <c r="AE134" s="225"/>
      <c r="AF134" s="219"/>
      <c r="AG134" s="209"/>
      <c r="AH134" s="21">
        <f t="shared" si="93"/>
        <v>0</v>
      </c>
    </row>
    <row r="135" spans="1:35" s="289" customFormat="1" ht="15.75" customHeight="1" thickTop="1">
      <c r="A135" s="20">
        <v>6501</v>
      </c>
      <c r="B135" s="147"/>
      <c r="C135" s="62"/>
      <c r="D135" s="49" t="e">
        <f t="shared" ref="D135:D142" si="133">C135/C$12</f>
        <v>#DIV/0!</v>
      </c>
      <c r="E135" s="62"/>
      <c r="F135" s="49" t="e">
        <f t="shared" ref="F135:F142" si="134">E135/E$12</f>
        <v>#DIV/0!</v>
      </c>
      <c r="G135" s="62"/>
      <c r="H135" s="49" t="e">
        <f t="shared" ref="H135:H142" si="135">G135/G$12</f>
        <v>#DIV/0!</v>
      </c>
      <c r="I135" s="62"/>
      <c r="J135" s="49" t="e">
        <f t="shared" ref="J135:J142" si="136">I135/I$12</f>
        <v>#DIV/0!</v>
      </c>
      <c r="K135" s="62"/>
      <c r="L135" s="49" t="e">
        <f t="shared" ref="L135:L142" si="137">K135/K$12</f>
        <v>#DIV/0!</v>
      </c>
      <c r="M135" s="62"/>
      <c r="N135" s="49" t="e">
        <f t="shared" ref="N135:N142" si="138">M135/M$12</f>
        <v>#DIV/0!</v>
      </c>
      <c r="O135" s="62"/>
      <c r="P135" s="49" t="e">
        <f t="shared" ref="P135:P142" si="139">O135/O$12</f>
        <v>#DIV/0!</v>
      </c>
      <c r="Q135" s="62"/>
      <c r="R135" s="49" t="e">
        <f t="shared" ref="R135:R142" si="140">Q135/Q$12</f>
        <v>#DIV/0!</v>
      </c>
      <c r="S135" s="62"/>
      <c r="T135" s="49" t="e">
        <f t="shared" ref="T135:T145" si="141">S135/S$12</f>
        <v>#DIV/0!</v>
      </c>
      <c r="U135" s="62"/>
      <c r="V135" s="49" t="e">
        <f t="shared" ref="V135:V142" si="142">U135/U$12</f>
        <v>#DIV/0!</v>
      </c>
      <c r="W135" s="62"/>
      <c r="X135" s="49" t="e">
        <f t="shared" ref="X135:X142" si="143">W135/W$12</f>
        <v>#DIV/0!</v>
      </c>
      <c r="Y135" s="62"/>
      <c r="Z135" s="49" t="e">
        <f t="shared" ref="Z135:Z145" si="144">Y135/Y$12</f>
        <v>#DIV/0!</v>
      </c>
      <c r="AA135" s="105">
        <f t="shared" ref="AA135:AA142" si="145">C135+E135+G135+I135+K135+M135+O135+Q135+S135+U135+W135+Y135</f>
        <v>0</v>
      </c>
      <c r="AB135" s="108" t="e">
        <f t="shared" ref="AB135:AB145" si="146">AA135/AA$12</f>
        <v>#DIV/0!</v>
      </c>
      <c r="AC135" s="124">
        <f t="shared" si="91"/>
        <v>0</v>
      </c>
      <c r="AD135" s="92" t="e">
        <f t="shared" ref="AD135:AD145" si="147">AC135/AC$12</f>
        <v>#DIV/0!</v>
      </c>
      <c r="AE135" s="214"/>
      <c r="AF135" s="54"/>
      <c r="AH135" s="21">
        <f t="shared" si="93"/>
        <v>0</v>
      </c>
    </row>
    <row r="136" spans="1:35" s="289" customFormat="1" ht="15" customHeight="1">
      <c r="A136" s="2">
        <v>6502</v>
      </c>
      <c r="B136" s="147" t="s">
        <v>127</v>
      </c>
      <c r="C136" s="319"/>
      <c r="D136" s="49" t="e">
        <f t="shared" si="133"/>
        <v>#DIV/0!</v>
      </c>
      <c r="E136" s="319"/>
      <c r="F136" s="49" t="e">
        <f t="shared" si="134"/>
        <v>#DIV/0!</v>
      </c>
      <c r="G136" s="319"/>
      <c r="H136" s="49" t="e">
        <f t="shared" si="135"/>
        <v>#DIV/0!</v>
      </c>
      <c r="I136" s="319"/>
      <c r="J136" s="49" t="e">
        <f t="shared" si="136"/>
        <v>#DIV/0!</v>
      </c>
      <c r="K136" s="319"/>
      <c r="L136" s="49" t="e">
        <f t="shared" si="137"/>
        <v>#DIV/0!</v>
      </c>
      <c r="M136" s="319"/>
      <c r="N136" s="49" t="e">
        <f t="shared" si="138"/>
        <v>#DIV/0!</v>
      </c>
      <c r="O136" s="319"/>
      <c r="P136" s="49" t="e">
        <f t="shared" si="139"/>
        <v>#DIV/0!</v>
      </c>
      <c r="Q136" s="319"/>
      <c r="R136" s="49" t="e">
        <f t="shared" si="140"/>
        <v>#DIV/0!</v>
      </c>
      <c r="S136" s="319"/>
      <c r="T136" s="49" t="e">
        <f t="shared" si="141"/>
        <v>#DIV/0!</v>
      </c>
      <c r="U136" s="319"/>
      <c r="V136" s="49" t="e">
        <f t="shared" si="142"/>
        <v>#DIV/0!</v>
      </c>
      <c r="W136" s="319"/>
      <c r="X136" s="49" t="e">
        <f t="shared" si="143"/>
        <v>#DIV/0!</v>
      </c>
      <c r="Y136" s="319"/>
      <c r="Z136" s="49" t="e">
        <f t="shared" si="144"/>
        <v>#DIV/0!</v>
      </c>
      <c r="AA136" s="105">
        <f t="shared" si="145"/>
        <v>0</v>
      </c>
      <c r="AB136" s="108" t="e">
        <f t="shared" si="146"/>
        <v>#DIV/0!</v>
      </c>
      <c r="AC136" s="124">
        <f t="shared" si="91"/>
        <v>0</v>
      </c>
      <c r="AD136" s="92" t="e">
        <f t="shared" si="147"/>
        <v>#DIV/0!</v>
      </c>
      <c r="AE136" s="214" t="s">
        <v>148</v>
      </c>
      <c r="AF136" s="54"/>
      <c r="AG136" s="289" t="s">
        <v>148</v>
      </c>
      <c r="AH136" s="21">
        <f t="shared" si="93"/>
        <v>0</v>
      </c>
    </row>
    <row r="137" spans="1:35" s="289" customFormat="1" ht="15" customHeight="1">
      <c r="A137" s="2">
        <v>6503</v>
      </c>
      <c r="B137" s="147" t="s">
        <v>128</v>
      </c>
      <c r="C137" s="319"/>
      <c r="D137" s="49" t="e">
        <f t="shared" si="133"/>
        <v>#DIV/0!</v>
      </c>
      <c r="E137" s="319"/>
      <c r="F137" s="49" t="e">
        <f t="shared" si="134"/>
        <v>#DIV/0!</v>
      </c>
      <c r="G137" s="319"/>
      <c r="H137" s="49" t="e">
        <f t="shared" si="135"/>
        <v>#DIV/0!</v>
      </c>
      <c r="I137" s="319"/>
      <c r="J137" s="49" t="e">
        <f t="shared" si="136"/>
        <v>#DIV/0!</v>
      </c>
      <c r="K137" s="319"/>
      <c r="L137" s="49" t="e">
        <f t="shared" si="137"/>
        <v>#DIV/0!</v>
      </c>
      <c r="M137" s="319"/>
      <c r="N137" s="49" t="e">
        <f t="shared" si="138"/>
        <v>#DIV/0!</v>
      </c>
      <c r="O137" s="319"/>
      <c r="P137" s="49" t="e">
        <f t="shared" si="139"/>
        <v>#DIV/0!</v>
      </c>
      <c r="Q137" s="319"/>
      <c r="R137" s="49" t="e">
        <f t="shared" si="140"/>
        <v>#DIV/0!</v>
      </c>
      <c r="S137" s="319"/>
      <c r="T137" s="49" t="e">
        <f t="shared" si="141"/>
        <v>#DIV/0!</v>
      </c>
      <c r="U137" s="319"/>
      <c r="V137" s="49" t="e">
        <f t="shared" si="142"/>
        <v>#DIV/0!</v>
      </c>
      <c r="W137" s="319"/>
      <c r="X137" s="49" t="e">
        <f t="shared" si="143"/>
        <v>#DIV/0!</v>
      </c>
      <c r="Y137" s="319"/>
      <c r="Z137" s="49" t="e">
        <f t="shared" si="144"/>
        <v>#DIV/0!</v>
      </c>
      <c r="AA137" s="105">
        <f t="shared" si="145"/>
        <v>0</v>
      </c>
      <c r="AB137" s="108" t="e">
        <f t="shared" si="146"/>
        <v>#DIV/0!</v>
      </c>
      <c r="AC137" s="124">
        <f t="shared" si="91"/>
        <v>0</v>
      </c>
      <c r="AD137" s="92" t="e">
        <f t="shared" si="147"/>
        <v>#DIV/0!</v>
      </c>
      <c r="AE137" s="214" t="s">
        <v>148</v>
      </c>
      <c r="AF137" s="54"/>
      <c r="AG137" s="289" t="s">
        <v>148</v>
      </c>
      <c r="AH137" s="21">
        <f t="shared" si="93"/>
        <v>0</v>
      </c>
      <c r="AI137" s="64">
        <f>AH136+AH137</f>
        <v>0</v>
      </c>
    </row>
    <row r="138" spans="1:35" s="289" customFormat="1" ht="15" customHeight="1">
      <c r="A138" s="2">
        <v>6504</v>
      </c>
      <c r="B138" s="147" t="s">
        <v>129</v>
      </c>
      <c r="C138" s="178"/>
      <c r="D138" s="49" t="e">
        <f t="shared" si="133"/>
        <v>#DIV/0!</v>
      </c>
      <c r="E138" s="178"/>
      <c r="F138" s="49" t="e">
        <f t="shared" si="134"/>
        <v>#DIV/0!</v>
      </c>
      <c r="G138" s="178"/>
      <c r="H138" s="49" t="e">
        <f t="shared" si="135"/>
        <v>#DIV/0!</v>
      </c>
      <c r="I138" s="178"/>
      <c r="J138" s="49" t="e">
        <f t="shared" si="136"/>
        <v>#DIV/0!</v>
      </c>
      <c r="K138" s="178"/>
      <c r="L138" s="49" t="e">
        <f t="shared" si="137"/>
        <v>#DIV/0!</v>
      </c>
      <c r="M138" s="178"/>
      <c r="N138" s="49" t="e">
        <f t="shared" si="138"/>
        <v>#DIV/0!</v>
      </c>
      <c r="O138" s="178"/>
      <c r="P138" s="49" t="e">
        <f t="shared" si="139"/>
        <v>#DIV/0!</v>
      </c>
      <c r="Q138" s="178"/>
      <c r="R138" s="49" t="e">
        <f t="shared" si="140"/>
        <v>#DIV/0!</v>
      </c>
      <c r="S138" s="178"/>
      <c r="T138" s="49" t="e">
        <f t="shared" si="141"/>
        <v>#DIV/0!</v>
      </c>
      <c r="U138" s="178"/>
      <c r="V138" s="49" t="e">
        <f t="shared" si="142"/>
        <v>#DIV/0!</v>
      </c>
      <c r="W138" s="178"/>
      <c r="X138" s="49" t="e">
        <f t="shared" si="143"/>
        <v>#DIV/0!</v>
      </c>
      <c r="Y138" s="178"/>
      <c r="Z138" s="49" t="e">
        <f t="shared" si="144"/>
        <v>#DIV/0!</v>
      </c>
      <c r="AA138" s="105">
        <f t="shared" si="145"/>
        <v>0</v>
      </c>
      <c r="AB138" s="108" t="e">
        <f t="shared" si="146"/>
        <v>#DIV/0!</v>
      </c>
      <c r="AC138" s="89">
        <f t="shared" si="91"/>
        <v>0</v>
      </c>
      <c r="AD138" s="92" t="e">
        <f t="shared" si="147"/>
        <v>#DIV/0!</v>
      </c>
      <c r="AE138" s="214" t="s">
        <v>148</v>
      </c>
      <c r="AF138" s="54"/>
      <c r="AG138" s="289" t="s">
        <v>148</v>
      </c>
      <c r="AH138" s="21">
        <f t="shared" si="93"/>
        <v>0</v>
      </c>
    </row>
    <row r="139" spans="1:35" s="289" customFormat="1" ht="15" customHeight="1">
      <c r="A139" s="2">
        <v>6505</v>
      </c>
      <c r="B139" s="2" t="s">
        <v>130</v>
      </c>
      <c r="C139" s="178"/>
      <c r="D139" s="49" t="e">
        <f t="shared" si="133"/>
        <v>#DIV/0!</v>
      </c>
      <c r="E139" s="178"/>
      <c r="F139" s="49" t="e">
        <f t="shared" si="134"/>
        <v>#DIV/0!</v>
      </c>
      <c r="G139" s="178"/>
      <c r="H139" s="49" t="e">
        <f t="shared" si="135"/>
        <v>#DIV/0!</v>
      </c>
      <c r="I139" s="178"/>
      <c r="J139" s="49" t="e">
        <f t="shared" si="136"/>
        <v>#DIV/0!</v>
      </c>
      <c r="K139" s="178"/>
      <c r="L139" s="49" t="e">
        <f t="shared" si="137"/>
        <v>#DIV/0!</v>
      </c>
      <c r="M139" s="178"/>
      <c r="N139" s="49" t="e">
        <f t="shared" si="138"/>
        <v>#DIV/0!</v>
      </c>
      <c r="O139" s="178"/>
      <c r="P139" s="49" t="e">
        <f t="shared" si="139"/>
        <v>#DIV/0!</v>
      </c>
      <c r="Q139" s="178"/>
      <c r="R139" s="49" t="e">
        <f t="shared" si="140"/>
        <v>#DIV/0!</v>
      </c>
      <c r="S139" s="178"/>
      <c r="T139" s="49" t="e">
        <f t="shared" si="141"/>
        <v>#DIV/0!</v>
      </c>
      <c r="U139" s="178"/>
      <c r="V139" s="49" t="e">
        <f t="shared" si="142"/>
        <v>#DIV/0!</v>
      </c>
      <c r="W139" s="178"/>
      <c r="X139" s="49" t="e">
        <f t="shared" si="143"/>
        <v>#DIV/0!</v>
      </c>
      <c r="Y139" s="178"/>
      <c r="Z139" s="49" t="e">
        <f t="shared" si="144"/>
        <v>#DIV/0!</v>
      </c>
      <c r="AA139" s="105">
        <f t="shared" si="145"/>
        <v>0</v>
      </c>
      <c r="AB139" s="108" t="e">
        <f t="shared" si="146"/>
        <v>#DIV/0!</v>
      </c>
      <c r="AC139" s="89">
        <f t="shared" si="91"/>
        <v>0</v>
      </c>
      <c r="AD139" s="92" t="e">
        <f t="shared" si="147"/>
        <v>#DIV/0!</v>
      </c>
      <c r="AE139" s="214"/>
      <c r="AF139" s="54"/>
      <c r="AH139" s="21">
        <f t="shared" si="93"/>
        <v>0</v>
      </c>
    </row>
    <row r="140" spans="1:35" s="289" customFormat="1">
      <c r="A140" s="2">
        <v>6506</v>
      </c>
      <c r="B140" s="2" t="s">
        <v>202</v>
      </c>
      <c r="C140" s="27"/>
      <c r="D140" s="278" t="e">
        <f>C140/C12</f>
        <v>#DIV/0!</v>
      </c>
      <c r="E140" s="27"/>
      <c r="F140" s="278" t="e">
        <f>E140/E12</f>
        <v>#DIV/0!</v>
      </c>
      <c r="G140" s="27"/>
      <c r="H140" s="278" t="e">
        <f>G140/G12</f>
        <v>#DIV/0!</v>
      </c>
      <c r="I140" s="27"/>
      <c r="J140" s="278" t="e">
        <f>I140/I12</f>
        <v>#DIV/0!</v>
      </c>
      <c r="K140" s="27"/>
      <c r="L140" s="278" t="e">
        <f>K140/K12</f>
        <v>#DIV/0!</v>
      </c>
      <c r="M140" s="27"/>
      <c r="N140" s="278" t="e">
        <f>M140/M12</f>
        <v>#DIV/0!</v>
      </c>
      <c r="O140" s="27"/>
      <c r="P140" s="278" t="e">
        <f>O140/O12</f>
        <v>#DIV/0!</v>
      </c>
      <c r="Q140" s="27"/>
      <c r="R140" s="278" t="e">
        <f>Q140/Q12</f>
        <v>#DIV/0!</v>
      </c>
      <c r="S140" s="27"/>
      <c r="T140" s="278" t="e">
        <f>S140/S12</f>
        <v>#DIV/0!</v>
      </c>
      <c r="U140" s="27"/>
      <c r="V140" s="278" t="e">
        <f>U140/U12</f>
        <v>#DIV/0!</v>
      </c>
      <c r="W140" s="27"/>
      <c r="X140" s="278" t="e">
        <f>W140/W12</f>
        <v>#DIV/0!</v>
      </c>
      <c r="Y140" s="27"/>
      <c r="Z140" s="278" t="e">
        <f>Y140/Y12</f>
        <v>#DIV/0!</v>
      </c>
      <c r="AA140" s="105">
        <f t="shared" si="145"/>
        <v>0</v>
      </c>
      <c r="AB140" s="108" t="e">
        <f t="shared" si="146"/>
        <v>#DIV/0!</v>
      </c>
      <c r="AC140" s="89">
        <f t="shared" si="91"/>
        <v>0</v>
      </c>
      <c r="AD140" s="92" t="e">
        <f t="shared" si="147"/>
        <v>#DIV/0!</v>
      </c>
      <c r="AF140" s="64"/>
      <c r="AH140" s="21">
        <f t="shared" si="93"/>
        <v>0</v>
      </c>
    </row>
    <row r="141" spans="1:35" s="289" customFormat="1" ht="15" customHeight="1">
      <c r="A141" s="128">
        <v>6604</v>
      </c>
      <c r="B141" s="2" t="s">
        <v>136</v>
      </c>
      <c r="C141" s="46"/>
      <c r="D141" s="49" t="e">
        <f t="shared" si="133"/>
        <v>#DIV/0!</v>
      </c>
      <c r="E141" s="46"/>
      <c r="F141" s="49" t="e">
        <f t="shared" si="134"/>
        <v>#DIV/0!</v>
      </c>
      <c r="G141" s="46"/>
      <c r="H141" s="49" t="e">
        <f t="shared" si="135"/>
        <v>#DIV/0!</v>
      </c>
      <c r="I141" s="46"/>
      <c r="J141" s="49" t="e">
        <f t="shared" si="136"/>
        <v>#DIV/0!</v>
      </c>
      <c r="K141" s="46"/>
      <c r="L141" s="49" t="e">
        <f t="shared" si="137"/>
        <v>#DIV/0!</v>
      </c>
      <c r="M141" s="46"/>
      <c r="N141" s="49" t="e">
        <f t="shared" si="138"/>
        <v>#DIV/0!</v>
      </c>
      <c r="O141" s="46"/>
      <c r="P141" s="49" t="e">
        <f t="shared" si="139"/>
        <v>#DIV/0!</v>
      </c>
      <c r="Q141" s="46"/>
      <c r="R141" s="49" t="e">
        <f t="shared" si="140"/>
        <v>#DIV/0!</v>
      </c>
      <c r="S141" s="46"/>
      <c r="T141" s="49" t="e">
        <f t="shared" si="141"/>
        <v>#DIV/0!</v>
      </c>
      <c r="U141" s="46"/>
      <c r="V141" s="49" t="e">
        <f t="shared" si="142"/>
        <v>#DIV/0!</v>
      </c>
      <c r="W141" s="46"/>
      <c r="X141" s="49" t="e">
        <f t="shared" si="143"/>
        <v>#DIV/0!</v>
      </c>
      <c r="Y141" s="46"/>
      <c r="Z141" s="49" t="e">
        <f t="shared" si="144"/>
        <v>#DIV/0!</v>
      </c>
      <c r="AA141" s="105">
        <f t="shared" si="145"/>
        <v>0</v>
      </c>
      <c r="AB141" s="108" t="e">
        <f t="shared" si="146"/>
        <v>#DIV/0!</v>
      </c>
      <c r="AC141" s="89">
        <f t="shared" si="91"/>
        <v>0</v>
      </c>
      <c r="AD141" s="92" t="e">
        <f t="shared" si="147"/>
        <v>#DIV/0!</v>
      </c>
      <c r="AE141" s="214"/>
      <c r="AF141" s="54"/>
      <c r="AH141" s="21">
        <f t="shared" si="93"/>
        <v>0</v>
      </c>
    </row>
    <row r="142" spans="1:35" s="289" customFormat="1" ht="15" customHeight="1">
      <c r="A142" s="2"/>
      <c r="B142" s="2" t="s">
        <v>217</v>
      </c>
      <c r="C142" s="46"/>
      <c r="D142" s="49" t="e">
        <f t="shared" si="133"/>
        <v>#DIV/0!</v>
      </c>
      <c r="E142" s="46"/>
      <c r="F142" s="49" t="e">
        <f t="shared" si="134"/>
        <v>#DIV/0!</v>
      </c>
      <c r="G142" s="46"/>
      <c r="H142" s="49" t="e">
        <f t="shared" si="135"/>
        <v>#DIV/0!</v>
      </c>
      <c r="I142" s="46"/>
      <c r="J142" s="49" t="e">
        <f t="shared" si="136"/>
        <v>#DIV/0!</v>
      </c>
      <c r="K142" s="46"/>
      <c r="L142" s="49" t="e">
        <f t="shared" si="137"/>
        <v>#DIV/0!</v>
      </c>
      <c r="M142" s="46"/>
      <c r="N142" s="49" t="e">
        <f t="shared" si="138"/>
        <v>#DIV/0!</v>
      </c>
      <c r="O142" s="46"/>
      <c r="P142" s="49" t="e">
        <f t="shared" si="139"/>
        <v>#DIV/0!</v>
      </c>
      <c r="Q142" s="46"/>
      <c r="R142" s="49" t="e">
        <f t="shared" si="140"/>
        <v>#DIV/0!</v>
      </c>
      <c r="S142" s="46"/>
      <c r="T142" s="49" t="e">
        <f t="shared" si="141"/>
        <v>#DIV/0!</v>
      </c>
      <c r="U142" s="46"/>
      <c r="V142" s="49" t="e">
        <f t="shared" si="142"/>
        <v>#DIV/0!</v>
      </c>
      <c r="W142" s="46"/>
      <c r="X142" s="49" t="e">
        <f t="shared" si="143"/>
        <v>#DIV/0!</v>
      </c>
      <c r="Y142" s="46"/>
      <c r="Z142" s="132" t="e">
        <f t="shared" si="144"/>
        <v>#DIV/0!</v>
      </c>
      <c r="AA142" s="105">
        <f t="shared" si="145"/>
        <v>0</v>
      </c>
      <c r="AB142" s="108" t="e">
        <f t="shared" si="146"/>
        <v>#DIV/0!</v>
      </c>
      <c r="AC142" s="89">
        <f t="shared" si="91"/>
        <v>0</v>
      </c>
      <c r="AD142" s="92" t="e">
        <f t="shared" si="147"/>
        <v>#DIV/0!</v>
      </c>
      <c r="AE142" s="214"/>
      <c r="AF142" s="54"/>
      <c r="AH142" s="21">
        <f t="shared" si="93"/>
        <v>0</v>
      </c>
    </row>
    <row r="143" spans="1:35" s="289" customFormat="1" ht="15" customHeight="1">
      <c r="A143" s="48">
        <v>6798</v>
      </c>
      <c r="B143" s="48" t="s">
        <v>188</v>
      </c>
      <c r="C143" s="59">
        <f>SUM(C135:C142)</f>
        <v>0</v>
      </c>
      <c r="D143" s="69" t="e">
        <f>C143/C12</f>
        <v>#DIV/0!</v>
      </c>
      <c r="E143" s="59">
        <f>SUM(E135:E142)</f>
        <v>0</v>
      </c>
      <c r="F143" s="69" t="e">
        <f>E143/E12</f>
        <v>#DIV/0!</v>
      </c>
      <c r="G143" s="59">
        <f>SUM(G135:G142)</f>
        <v>0</v>
      </c>
      <c r="H143" s="69" t="e">
        <f>G143/G12</f>
        <v>#DIV/0!</v>
      </c>
      <c r="I143" s="59">
        <f>SUM(I135:I142)</f>
        <v>0</v>
      </c>
      <c r="J143" s="69" t="e">
        <f>I143/I12</f>
        <v>#DIV/0!</v>
      </c>
      <c r="K143" s="59">
        <f>SUM(K135:K142)</f>
        <v>0</v>
      </c>
      <c r="L143" s="69" t="e">
        <f>K143/K12</f>
        <v>#DIV/0!</v>
      </c>
      <c r="M143" s="59">
        <f>SUM(M135:M142)</f>
        <v>0</v>
      </c>
      <c r="N143" s="69" t="e">
        <f>M143/M12</f>
        <v>#DIV/0!</v>
      </c>
      <c r="O143" s="59">
        <f>SUM(O135:O142)</f>
        <v>0</v>
      </c>
      <c r="P143" s="69" t="e">
        <f>O143/O12</f>
        <v>#DIV/0!</v>
      </c>
      <c r="Q143" s="59">
        <f>SUM(Q135:Q142)</f>
        <v>0</v>
      </c>
      <c r="R143" s="69" t="e">
        <f>Q143/Q12</f>
        <v>#DIV/0!</v>
      </c>
      <c r="S143" s="59">
        <f>SUM(S135:S142)</f>
        <v>0</v>
      </c>
      <c r="T143" s="69" t="e">
        <f t="shared" si="141"/>
        <v>#DIV/0!</v>
      </c>
      <c r="U143" s="59">
        <f>SUM(U135:U142)</f>
        <v>0</v>
      </c>
      <c r="V143" s="69" t="e">
        <f>U143/U12</f>
        <v>#DIV/0!</v>
      </c>
      <c r="W143" s="59">
        <f>SUM(W135:W142)</f>
        <v>0</v>
      </c>
      <c r="X143" s="69" t="e">
        <f>W143/W12</f>
        <v>#DIV/0!</v>
      </c>
      <c r="Y143" s="59">
        <f>SUM(Y135:Y142)</f>
        <v>0</v>
      </c>
      <c r="Z143" s="69" t="e">
        <f t="shared" si="144"/>
        <v>#DIV/0!</v>
      </c>
      <c r="AA143" s="114">
        <f>SUM(AA135:AA142)</f>
        <v>0</v>
      </c>
      <c r="AB143" s="115" t="e">
        <f t="shared" si="146"/>
        <v>#DIV/0!</v>
      </c>
      <c r="AC143" s="98">
        <f t="shared" ref="AC143:AC151" si="148">AA143/12</f>
        <v>0</v>
      </c>
      <c r="AD143" s="99" t="e">
        <f t="shared" si="147"/>
        <v>#DIV/0!</v>
      </c>
      <c r="AE143" s="215"/>
      <c r="AF143" s="54"/>
      <c r="AH143" s="21">
        <f t="shared" si="93"/>
        <v>0</v>
      </c>
    </row>
    <row r="144" spans="1:35" s="289" customFormat="1" ht="15" customHeight="1">
      <c r="A144" s="48">
        <v>6799</v>
      </c>
      <c r="B144" s="48" t="s">
        <v>126</v>
      </c>
      <c r="C144" s="59">
        <f>C41+C76+C93+C115+C128+C143+C132</f>
        <v>0</v>
      </c>
      <c r="D144" s="69" t="e">
        <f>C144/C12</f>
        <v>#DIV/0!</v>
      </c>
      <c r="E144" s="59">
        <f>E41+E76+E93+E115+E128+E143+E132</f>
        <v>0</v>
      </c>
      <c r="F144" s="69" t="e">
        <f>E144/E12</f>
        <v>#DIV/0!</v>
      </c>
      <c r="G144" s="59">
        <f>G41+G76+G93+G115+G128+G143+G132</f>
        <v>0</v>
      </c>
      <c r="H144" s="69" t="e">
        <f>G144/G12</f>
        <v>#DIV/0!</v>
      </c>
      <c r="I144" s="59">
        <f>I41+I76+I93+I115+I128+I143+I132</f>
        <v>0</v>
      </c>
      <c r="J144" s="69" t="e">
        <f>I144/I12</f>
        <v>#DIV/0!</v>
      </c>
      <c r="K144" s="59">
        <f>K41+K76+K93+K115+K128+K143+K132</f>
        <v>0</v>
      </c>
      <c r="L144" s="69" t="e">
        <f>K144/K12</f>
        <v>#DIV/0!</v>
      </c>
      <c r="M144" s="59">
        <f>M41+M76+M93+M115+M128+M143+M132</f>
        <v>0</v>
      </c>
      <c r="N144" s="69" t="e">
        <f>M144/M12</f>
        <v>#DIV/0!</v>
      </c>
      <c r="O144" s="59">
        <f>O41+O76+O93+O115+O128+O143+O132</f>
        <v>0</v>
      </c>
      <c r="P144" s="69" t="e">
        <f>O144/O12</f>
        <v>#DIV/0!</v>
      </c>
      <c r="Q144" s="59">
        <f>Q41+Q76+Q93+Q115+Q128+Q143+Q132</f>
        <v>0</v>
      </c>
      <c r="R144" s="69" t="e">
        <f>Q144/Q12</f>
        <v>#DIV/0!</v>
      </c>
      <c r="S144" s="59">
        <f>S41+S76+S93+S115+S128+S143+S132</f>
        <v>0</v>
      </c>
      <c r="T144" s="69" t="e">
        <f t="shared" si="141"/>
        <v>#DIV/0!</v>
      </c>
      <c r="U144" s="59">
        <f>U41+U76+U93+U115+U128+U143+U132</f>
        <v>0</v>
      </c>
      <c r="V144" s="69" t="e">
        <f>U144/U12</f>
        <v>#DIV/0!</v>
      </c>
      <c r="W144" s="59">
        <f>W41+W76+W93+W115+W128+W143+W132</f>
        <v>0</v>
      </c>
      <c r="X144" s="69" t="e">
        <f>W144/W12</f>
        <v>#DIV/0!</v>
      </c>
      <c r="Y144" s="59">
        <f>Y41+Y76+Y93+Y115+Y128+Y143+Y132</f>
        <v>0</v>
      </c>
      <c r="Z144" s="69" t="e">
        <f t="shared" si="144"/>
        <v>#DIV/0!</v>
      </c>
      <c r="AA144" s="43">
        <f>AA41+AA76+AA93+AA115+AA128+AA143+AA132</f>
        <v>0</v>
      </c>
      <c r="AB144" s="115" t="e">
        <f t="shared" si="146"/>
        <v>#DIV/0!</v>
      </c>
      <c r="AC144" s="43">
        <f t="shared" si="148"/>
        <v>0</v>
      </c>
      <c r="AD144" s="99" t="e">
        <f t="shared" si="147"/>
        <v>#DIV/0!</v>
      </c>
      <c r="AE144" s="215"/>
      <c r="AF144" s="54"/>
      <c r="AH144" s="21">
        <f t="shared" si="93"/>
        <v>0</v>
      </c>
    </row>
    <row r="145" spans="1:34" s="289" customFormat="1" ht="15.75" customHeight="1" thickBot="1">
      <c r="A145" s="11">
        <v>6999</v>
      </c>
      <c r="B145" s="11" t="s">
        <v>135</v>
      </c>
      <c r="C145" s="60">
        <f>C134-C143</f>
        <v>0</v>
      </c>
      <c r="D145" s="70" t="e">
        <f>C145/C12</f>
        <v>#DIV/0!</v>
      </c>
      <c r="E145" s="60">
        <f>E134-E143</f>
        <v>0</v>
      </c>
      <c r="F145" s="70" t="e">
        <f>E145/E12</f>
        <v>#DIV/0!</v>
      </c>
      <c r="G145" s="60">
        <f>G134-G143</f>
        <v>0</v>
      </c>
      <c r="H145" s="70" t="e">
        <f>G145/G12</f>
        <v>#DIV/0!</v>
      </c>
      <c r="I145" s="60">
        <f>I134-I143</f>
        <v>0</v>
      </c>
      <c r="J145" s="70" t="e">
        <f>I145/I12</f>
        <v>#DIV/0!</v>
      </c>
      <c r="K145" s="60">
        <f>K134-K143</f>
        <v>0</v>
      </c>
      <c r="L145" s="70" t="e">
        <f>K145/K12</f>
        <v>#DIV/0!</v>
      </c>
      <c r="M145" s="60">
        <f>M134-M143</f>
        <v>0</v>
      </c>
      <c r="N145" s="70" t="e">
        <f>M145/M12</f>
        <v>#DIV/0!</v>
      </c>
      <c r="O145" s="60">
        <f>O134-O143</f>
        <v>0</v>
      </c>
      <c r="P145" s="70" t="e">
        <f>O145/O12</f>
        <v>#DIV/0!</v>
      </c>
      <c r="Q145" s="60">
        <f>Q134-Q143</f>
        <v>0</v>
      </c>
      <c r="R145" s="70" t="e">
        <f>Q145/Q12</f>
        <v>#DIV/0!</v>
      </c>
      <c r="S145" s="60">
        <f>S134-S143</f>
        <v>0</v>
      </c>
      <c r="T145" s="70" t="e">
        <f t="shared" si="141"/>
        <v>#DIV/0!</v>
      </c>
      <c r="U145" s="60">
        <f>U134-U143</f>
        <v>0</v>
      </c>
      <c r="V145" s="70" t="e">
        <f>U145/U12</f>
        <v>#DIV/0!</v>
      </c>
      <c r="W145" s="60">
        <f>W134-W143</f>
        <v>0</v>
      </c>
      <c r="X145" s="70" t="e">
        <f>W145/W12</f>
        <v>#DIV/0!</v>
      </c>
      <c r="Y145" s="60">
        <f>Y134-Y143</f>
        <v>0</v>
      </c>
      <c r="Z145" s="70" t="e">
        <f t="shared" si="144"/>
        <v>#DIV/0!</v>
      </c>
      <c r="AA145" s="109">
        <f>AA134-AA143</f>
        <v>0</v>
      </c>
      <c r="AB145" s="110" t="e">
        <f t="shared" si="146"/>
        <v>#DIV/0!</v>
      </c>
      <c r="AC145" s="93">
        <f t="shared" si="148"/>
        <v>0</v>
      </c>
      <c r="AD145" s="94" t="e">
        <f t="shared" si="147"/>
        <v>#DIV/0!</v>
      </c>
      <c r="AE145" s="218"/>
      <c r="AF145" s="219"/>
      <c r="AG145" s="209"/>
      <c r="AH145" s="21">
        <f t="shared" si="93"/>
        <v>0</v>
      </c>
    </row>
    <row r="146" spans="1:34" s="289" customFormat="1" ht="15.75" customHeight="1" thickTop="1">
      <c r="C146" s="63"/>
      <c r="D146" s="18"/>
      <c r="E146" s="63"/>
      <c r="F146" s="77"/>
      <c r="G146" s="63"/>
      <c r="H146" s="77"/>
      <c r="I146" s="63"/>
      <c r="J146" s="77"/>
      <c r="K146" s="63"/>
      <c r="L146" s="77"/>
      <c r="M146" s="63"/>
      <c r="N146" s="77"/>
      <c r="O146" s="63"/>
      <c r="P146" s="77"/>
      <c r="Q146" s="63"/>
      <c r="R146" s="77"/>
      <c r="S146" s="63"/>
      <c r="T146" s="77"/>
      <c r="U146" s="63"/>
      <c r="V146" s="77"/>
      <c r="W146" s="63"/>
      <c r="X146" s="77"/>
      <c r="Y146" s="63"/>
      <c r="Z146" s="77"/>
      <c r="AA146" s="106"/>
      <c r="AB146" s="107"/>
      <c r="AC146" s="90">
        <f t="shared" si="148"/>
        <v>0</v>
      </c>
      <c r="AD146" s="91"/>
      <c r="AE146" s="213"/>
      <c r="AF146" s="54"/>
      <c r="AH146" s="21">
        <f t="shared" si="93"/>
        <v>0</v>
      </c>
    </row>
    <row r="147" spans="1:34" s="289" customFormat="1" ht="15.75" customHeight="1" thickBot="1">
      <c r="A147" s="140"/>
      <c r="B147" s="11" t="s">
        <v>192</v>
      </c>
      <c r="C147" s="157">
        <v>0</v>
      </c>
      <c r="D147" s="143" t="e">
        <f>C147/C12</f>
        <v>#DIV/0!</v>
      </c>
      <c r="E147" s="157">
        <v>0</v>
      </c>
      <c r="F147" s="143" t="e">
        <f>E147/E12</f>
        <v>#DIV/0!</v>
      </c>
      <c r="G147" s="157">
        <v>0</v>
      </c>
      <c r="H147" s="143" t="e">
        <f>G147/G12</f>
        <v>#DIV/0!</v>
      </c>
      <c r="I147" s="157">
        <v>0</v>
      </c>
      <c r="J147" s="143" t="e">
        <f>I147/I12</f>
        <v>#DIV/0!</v>
      </c>
      <c r="K147" s="157">
        <v>0</v>
      </c>
      <c r="L147" s="143" t="e">
        <f>K147/K12</f>
        <v>#DIV/0!</v>
      </c>
      <c r="M147" s="157">
        <v>0</v>
      </c>
      <c r="N147" s="143" t="e">
        <f>M147/M12</f>
        <v>#DIV/0!</v>
      </c>
      <c r="O147" s="157">
        <v>0</v>
      </c>
      <c r="P147" s="143" t="e">
        <f>O147/O12</f>
        <v>#DIV/0!</v>
      </c>
      <c r="Q147" s="157">
        <v>0</v>
      </c>
      <c r="R147" s="143" t="e">
        <f>Q147/Q12</f>
        <v>#DIV/0!</v>
      </c>
      <c r="S147" s="157">
        <v>0</v>
      </c>
      <c r="T147" s="143" t="e">
        <f>S147/S12</f>
        <v>#DIV/0!</v>
      </c>
      <c r="U147" s="157">
        <v>0</v>
      </c>
      <c r="V147" s="143" t="e">
        <f>U147/U12</f>
        <v>#DIV/0!</v>
      </c>
      <c r="W147" s="157">
        <v>0</v>
      </c>
      <c r="X147" s="143" t="e">
        <f>W147/W12</f>
        <v>#DIV/0!</v>
      </c>
      <c r="Y147" s="157">
        <v>0</v>
      </c>
      <c r="Z147" s="143" t="e">
        <f>Y147/Y12</f>
        <v>#DIV/0!</v>
      </c>
      <c r="AA147" s="157">
        <f>C147+E147+G147+I147+K147+M147+O147+Q147+S147+U147+W147+Y147</f>
        <v>0</v>
      </c>
      <c r="AB147" s="143" t="e">
        <f>AA147/AA12</f>
        <v>#DIV/0!</v>
      </c>
      <c r="AC147" s="157">
        <f t="shared" si="148"/>
        <v>0</v>
      </c>
      <c r="AD147" s="143" t="e">
        <f>AC147/AC12</f>
        <v>#DIV/0!</v>
      </c>
      <c r="AE147" s="226"/>
      <c r="AF147" s="219"/>
      <c r="AG147" s="209"/>
      <c r="AH147" s="21">
        <f t="shared" si="93"/>
        <v>0</v>
      </c>
    </row>
    <row r="148" spans="1:34" s="289" customFormat="1" ht="15.75" customHeight="1" thickTop="1">
      <c r="B148" s="66"/>
      <c r="C148" s="64"/>
      <c r="D148" s="19"/>
      <c r="E148" s="580"/>
      <c r="F148" s="78"/>
      <c r="G148" s="580"/>
      <c r="H148" s="78"/>
      <c r="I148" s="580"/>
      <c r="J148" s="78"/>
      <c r="K148" s="580"/>
      <c r="L148" s="78"/>
      <c r="M148" s="580"/>
      <c r="N148" s="78"/>
      <c r="O148" s="580"/>
      <c r="P148" s="78"/>
      <c r="Q148" s="580"/>
      <c r="R148" s="78"/>
      <c r="S148" s="580"/>
      <c r="T148" s="78"/>
      <c r="U148" s="580"/>
      <c r="V148" s="78"/>
      <c r="W148" s="580"/>
      <c r="X148" s="78"/>
      <c r="Y148" s="580"/>
      <c r="Z148" s="78"/>
      <c r="AA148" s="103"/>
      <c r="AB148" s="104"/>
      <c r="AC148" s="87">
        <f t="shared" si="148"/>
        <v>0</v>
      </c>
      <c r="AD148" s="88"/>
      <c r="AE148" s="160"/>
      <c r="AF148" s="54"/>
      <c r="AH148" s="21">
        <f t="shared" ref="AH148:AH151" si="149">Q148*5.09</f>
        <v>0</v>
      </c>
    </row>
    <row r="149" spans="1:34" s="289" customFormat="1" ht="15.75" customHeight="1" thickBot="1">
      <c r="A149" s="140"/>
      <c r="B149" s="282" t="s">
        <v>206</v>
      </c>
      <c r="C149" s="157">
        <v>0</v>
      </c>
      <c r="D149" s="281"/>
      <c r="E149" s="157">
        <v>0</v>
      </c>
      <c r="F149" s="143"/>
      <c r="G149" s="157">
        <v>0</v>
      </c>
      <c r="H149" s="143"/>
      <c r="I149" s="157">
        <v>0</v>
      </c>
      <c r="J149" s="143"/>
      <c r="K149" s="157">
        <v>0</v>
      </c>
      <c r="L149" s="143"/>
      <c r="M149" s="157">
        <v>0</v>
      </c>
      <c r="N149" s="143"/>
      <c r="O149" s="157">
        <v>0</v>
      </c>
      <c r="P149" s="143"/>
      <c r="Q149" s="157">
        <v>0</v>
      </c>
      <c r="R149" s="143"/>
      <c r="S149" s="157">
        <v>0</v>
      </c>
      <c r="T149" s="143"/>
      <c r="U149" s="157">
        <v>0</v>
      </c>
      <c r="V149" s="143"/>
      <c r="W149" s="157">
        <v>0</v>
      </c>
      <c r="X149" s="143"/>
      <c r="Y149" s="157">
        <v>0</v>
      </c>
      <c r="Z149" s="143"/>
      <c r="AA149" s="157">
        <f>C149+E149+G149+I149+K149+M149+O149+Q149+S149+U149+W149+Y149</f>
        <v>0</v>
      </c>
      <c r="AB149" s="143"/>
      <c r="AC149" s="157">
        <f t="shared" si="148"/>
        <v>0</v>
      </c>
      <c r="AD149" s="143"/>
      <c r="AE149" s="160"/>
      <c r="AF149" s="54"/>
      <c r="AH149" s="21">
        <f t="shared" si="149"/>
        <v>0</v>
      </c>
    </row>
    <row r="150" spans="1:34" s="289" customFormat="1" ht="15.75" customHeight="1" thickTop="1">
      <c r="B150" s="66"/>
      <c r="C150" s="64"/>
      <c r="D150" s="19"/>
      <c r="E150" s="580"/>
      <c r="F150" s="78"/>
      <c r="G150" s="580"/>
      <c r="H150" s="78"/>
      <c r="I150" s="580"/>
      <c r="J150" s="78"/>
      <c r="K150" s="580"/>
      <c r="L150" s="78"/>
      <c r="M150" s="580"/>
      <c r="N150" s="78"/>
      <c r="O150" s="580"/>
      <c r="P150" s="78"/>
      <c r="Q150" s="580"/>
      <c r="R150" s="78"/>
      <c r="S150" s="580"/>
      <c r="T150" s="78"/>
      <c r="U150" s="580"/>
      <c r="V150" s="78"/>
      <c r="W150" s="580"/>
      <c r="X150" s="78"/>
      <c r="Y150" s="580"/>
      <c r="Z150" s="78"/>
      <c r="AA150" s="103"/>
      <c r="AB150" s="104"/>
      <c r="AC150" s="87">
        <f t="shared" si="148"/>
        <v>0</v>
      </c>
      <c r="AD150" s="88"/>
      <c r="AE150" s="160"/>
      <c r="AF150" s="54"/>
      <c r="AH150" s="21">
        <f t="shared" si="149"/>
        <v>0</v>
      </c>
    </row>
    <row r="151" spans="1:34" s="289" customFormat="1" ht="15.75" customHeight="1" thickBot="1">
      <c r="A151" s="140"/>
      <c r="B151" s="148" t="s">
        <v>189</v>
      </c>
      <c r="C151" s="157">
        <f>C145-C147-C149</f>
        <v>0</v>
      </c>
      <c r="D151" s="143" t="e">
        <f>C151/C12</f>
        <v>#DIV/0!</v>
      </c>
      <c r="E151" s="157">
        <f>E145-E147-E149</f>
        <v>0</v>
      </c>
      <c r="F151" s="143" t="e">
        <f>E151/E12</f>
        <v>#DIV/0!</v>
      </c>
      <c r="G151" s="157">
        <f>G145-G147-G149</f>
        <v>0</v>
      </c>
      <c r="H151" s="143" t="e">
        <f>G151/G12</f>
        <v>#DIV/0!</v>
      </c>
      <c r="I151" s="157">
        <f>I145-I147-I149</f>
        <v>0</v>
      </c>
      <c r="J151" s="143" t="e">
        <f>I151/I12</f>
        <v>#DIV/0!</v>
      </c>
      <c r="K151" s="157">
        <f>K145-K147-K149</f>
        <v>0</v>
      </c>
      <c r="L151" s="143" t="e">
        <f>K151/K12</f>
        <v>#DIV/0!</v>
      </c>
      <c r="M151" s="157">
        <f>M145-M147-M149</f>
        <v>0</v>
      </c>
      <c r="N151" s="143" t="e">
        <f>M151/M12</f>
        <v>#DIV/0!</v>
      </c>
      <c r="O151" s="157">
        <f>O145-O147-O149</f>
        <v>0</v>
      </c>
      <c r="P151" s="143" t="e">
        <f>O151/O12</f>
        <v>#DIV/0!</v>
      </c>
      <c r="Q151" s="157">
        <f>Q145-Q147-Q149</f>
        <v>0</v>
      </c>
      <c r="R151" s="143" t="e">
        <f>Q151/Q12</f>
        <v>#DIV/0!</v>
      </c>
      <c r="S151" s="157">
        <f>S145-S147-S149</f>
        <v>0</v>
      </c>
      <c r="T151" s="143" t="e">
        <f>S151/S12</f>
        <v>#DIV/0!</v>
      </c>
      <c r="U151" s="157">
        <f>U145-U147-U149</f>
        <v>0</v>
      </c>
      <c r="V151" s="143" t="e">
        <f>U151/U12</f>
        <v>#DIV/0!</v>
      </c>
      <c r="W151" s="157">
        <f>W145-W147-W149</f>
        <v>0</v>
      </c>
      <c r="X151" s="143" t="e">
        <f>W151/W12</f>
        <v>#DIV/0!</v>
      </c>
      <c r="Y151" s="157">
        <f>Y145-Y147-Y149</f>
        <v>0</v>
      </c>
      <c r="Z151" s="143" t="e">
        <f>Y151/Y12</f>
        <v>#DIV/0!</v>
      </c>
      <c r="AA151" s="156">
        <f>AA145-AA147</f>
        <v>0</v>
      </c>
      <c r="AB151" s="143" t="e">
        <f>AA151/AA12</f>
        <v>#DIV/0!</v>
      </c>
      <c r="AC151" s="156">
        <f t="shared" si="148"/>
        <v>0</v>
      </c>
      <c r="AD151" s="143" t="e">
        <f>AC151/AC12</f>
        <v>#DIV/0!</v>
      </c>
      <c r="AE151" s="226"/>
      <c r="AF151" s="219"/>
      <c r="AG151" s="209"/>
      <c r="AH151" s="21">
        <f t="shared" si="149"/>
        <v>0</v>
      </c>
    </row>
    <row r="152" spans="1:34" s="289" customFormat="1" ht="15.75" thickTop="1">
      <c r="B152" s="130"/>
      <c r="C152" s="64"/>
      <c r="D152" s="19"/>
      <c r="E152" s="64"/>
      <c r="F152" s="78"/>
      <c r="G152" s="64"/>
      <c r="H152" s="78"/>
      <c r="I152" s="64">
        <v>-8454.44</v>
      </c>
      <c r="J152" s="78"/>
      <c r="K152" s="27"/>
      <c r="L152" s="78"/>
      <c r="M152" s="27"/>
      <c r="N152" s="78"/>
      <c r="O152" s="27"/>
      <c r="P152" s="78"/>
      <c r="Q152" s="64"/>
      <c r="R152" s="78"/>
      <c r="S152" s="64" t="e">
        <f>S144/T37</f>
        <v>#DIV/0!</v>
      </c>
      <c r="T152" s="78"/>
      <c r="V152" s="78"/>
      <c r="X152" s="78"/>
      <c r="Z152" s="78"/>
      <c r="AA152" s="103"/>
      <c r="AB152" s="104"/>
      <c r="AC152" s="87"/>
      <c r="AD152" s="160"/>
      <c r="AE152" s="160"/>
      <c r="AF152" s="64"/>
      <c r="AH152" s="27"/>
    </row>
    <row r="153" spans="1:34" s="289" customFormat="1">
      <c r="B153" s="180" t="s">
        <v>138</v>
      </c>
      <c r="C153" s="64">
        <f>C151</f>
        <v>0</v>
      </c>
      <c r="D153" s="19"/>
      <c r="E153" s="64">
        <f>E151+C153</f>
        <v>0</v>
      </c>
      <c r="F153" s="78"/>
      <c r="G153" s="64">
        <f>G151+E153</f>
        <v>0</v>
      </c>
      <c r="H153" s="78"/>
      <c r="I153" s="64">
        <f>I151+G153</f>
        <v>0</v>
      </c>
      <c r="J153" s="78"/>
      <c r="K153" s="64">
        <f>K151+I153</f>
        <v>0</v>
      </c>
      <c r="L153" s="78"/>
      <c r="M153" s="64">
        <f>M151+K153</f>
        <v>0</v>
      </c>
      <c r="N153" s="78"/>
      <c r="O153" s="64">
        <f>O151+M153</f>
        <v>0</v>
      </c>
      <c r="P153" s="78"/>
      <c r="Q153" s="64">
        <f>Q151+O153</f>
        <v>0</v>
      </c>
      <c r="R153" s="78"/>
      <c r="S153" s="64">
        <f>S151+Q153</f>
        <v>0</v>
      </c>
      <c r="T153" s="78"/>
      <c r="U153" s="64">
        <f>U151+S153</f>
        <v>0</v>
      </c>
      <c r="V153" s="78"/>
      <c r="W153" s="64">
        <f>W151+U153</f>
        <v>0</v>
      </c>
      <c r="X153" s="78"/>
      <c r="Y153" s="64">
        <f>Y151+W153</f>
        <v>0</v>
      </c>
      <c r="AB153" s="104"/>
      <c r="AC153" s="87"/>
      <c r="AD153" s="88"/>
      <c r="AE153" s="160"/>
      <c r="AF153" s="64"/>
      <c r="AH153" s="27"/>
    </row>
    <row r="154" spans="1:34" s="289" customFormat="1">
      <c r="C154" s="64"/>
      <c r="D154" s="19"/>
      <c r="E154" s="64"/>
      <c r="F154" s="78"/>
      <c r="G154" s="64"/>
      <c r="H154" s="78"/>
      <c r="I154" s="64">
        <v>1923.68</v>
      </c>
      <c r="J154" s="78"/>
      <c r="K154" s="27"/>
      <c r="L154" s="78"/>
      <c r="M154" s="27"/>
      <c r="N154" s="78"/>
      <c r="O154" s="27"/>
      <c r="P154" s="78"/>
      <c r="R154" s="78"/>
      <c r="T154" s="78"/>
      <c r="V154" s="78"/>
      <c r="X154" s="78"/>
      <c r="Z154" s="298" t="s">
        <v>103</v>
      </c>
      <c r="AA154" s="295">
        <f>AA151*5.09</f>
        <v>0</v>
      </c>
      <c r="AB154" s="104"/>
      <c r="AC154" s="87"/>
      <c r="AD154" s="88"/>
      <c r="AE154" s="160"/>
      <c r="AF154" s="64"/>
      <c r="AH154" s="27"/>
    </row>
    <row r="155" spans="1:34">
      <c r="B155" s="297" t="s">
        <v>103</v>
      </c>
      <c r="C155" s="168">
        <f>C153*5.09</f>
        <v>0</v>
      </c>
      <c r="E155" s="168">
        <f>E153*5.09</f>
        <v>0</v>
      </c>
      <c r="G155" s="168">
        <f>G153*5.09</f>
        <v>0</v>
      </c>
      <c r="I155" s="168">
        <f>I153*5.09</f>
        <v>0</v>
      </c>
      <c r="K155" s="260">
        <f>K153*5.09</f>
        <v>0</v>
      </c>
      <c r="M155" s="260">
        <f>M153*5.09</f>
        <v>0</v>
      </c>
      <c r="O155" s="168">
        <f>O153*5.09</f>
        <v>0</v>
      </c>
      <c r="Q155" s="168">
        <f>Q153*5.09</f>
        <v>0</v>
      </c>
      <c r="S155" s="168">
        <f>S153*5.09</f>
        <v>0</v>
      </c>
      <c r="U155" s="168">
        <f>U153*5.09</f>
        <v>0</v>
      </c>
      <c r="W155" s="168">
        <f>W153*5.09</f>
        <v>0</v>
      </c>
      <c r="Y155" s="168">
        <f>Y153*5.09</f>
        <v>0</v>
      </c>
    </row>
    <row r="157" spans="1:34">
      <c r="C157" s="358"/>
      <c r="S157" s="330"/>
      <c r="AA157" s="260"/>
    </row>
    <row r="158" spans="1:34">
      <c r="C158" s="359"/>
    </row>
    <row r="159" spans="1:34">
      <c r="C159" s="359"/>
    </row>
    <row r="160" spans="1:34">
      <c r="C160" s="358"/>
    </row>
    <row r="161" spans="3:3">
      <c r="C161" s="358"/>
    </row>
  </sheetData>
  <mergeCells count="15">
    <mergeCell ref="A1:AD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rintOptions gridLines="1"/>
  <pageMargins left="0.70866141732283505" right="0.70866141732283505" top="0.74803149606299202" bottom="1.1000000000000001" header="0.31496062992126" footer="0.31496062992126"/>
  <pageSetup paperSize="8" scale="52" fitToHeight="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61"/>
  <sheetViews>
    <sheetView zoomScale="87" zoomScaleNormal="87" workbookViewId="0">
      <pane xSplit="2" ySplit="5" topLeftCell="C6" activePane="bottomRight" state="frozen"/>
      <selection activeCell="M143" sqref="M143"/>
      <selection pane="topRight" activeCell="M143" sqref="M143"/>
      <selection pane="bottomLeft" activeCell="M143" sqref="M143"/>
      <selection pane="bottomRight" activeCell="C6" sqref="C6"/>
    </sheetView>
  </sheetViews>
  <sheetFormatPr defaultColWidth="9.140625" defaultRowHeight="15"/>
  <cols>
    <col min="1" max="1" width="7.42578125" style="133" bestFit="1" customWidth="1"/>
    <col min="2" max="2" width="35.5703125" style="133" bestFit="1" customWidth="1"/>
    <col min="3" max="3" width="15.28515625" style="168" customWidth="1"/>
    <col min="4" max="4" width="12.5703125" style="133" customWidth="1"/>
    <col min="5" max="5" width="13.28515625" style="168" bestFit="1" customWidth="1"/>
    <col min="6" max="6" width="8.85546875" style="259" bestFit="1" customWidth="1"/>
    <col min="7" max="7" width="13.28515625" style="168" bestFit="1" customWidth="1"/>
    <col min="8" max="8" width="8.85546875" style="259" bestFit="1" customWidth="1"/>
    <col min="9" max="9" width="13.28515625" style="168" bestFit="1" customWidth="1"/>
    <col min="10" max="10" width="8.7109375" style="259" bestFit="1" customWidth="1"/>
    <col min="11" max="11" width="13.28515625" style="26" bestFit="1" customWidth="1"/>
    <col min="12" max="12" width="8.7109375" style="259" bestFit="1" customWidth="1"/>
    <col min="13" max="13" width="13.28515625" style="26" bestFit="1" customWidth="1"/>
    <col min="14" max="14" width="8.85546875" style="259" bestFit="1" customWidth="1"/>
    <col min="15" max="15" width="15.5703125" style="26" customWidth="1"/>
    <col min="16" max="16" width="10.7109375" style="259" customWidth="1"/>
    <col min="17" max="17" width="14.28515625" style="133" customWidth="1"/>
    <col min="18" max="18" width="9.140625" style="259" customWidth="1"/>
    <col min="19" max="19" width="15.140625" style="133" customWidth="1"/>
    <col min="20" max="20" width="8.140625" style="259" bestFit="1" customWidth="1"/>
    <col min="21" max="21" width="14.42578125" style="133" customWidth="1"/>
    <col min="22" max="22" width="9.5703125" style="259" customWidth="1"/>
    <col min="23" max="23" width="14" style="133" bestFit="1" customWidth="1"/>
    <col min="24" max="24" width="8.140625" style="259" bestFit="1" customWidth="1"/>
    <col min="25" max="25" width="14" style="133" bestFit="1" customWidth="1"/>
    <col min="26" max="26" width="8.140625" style="259" bestFit="1" customWidth="1"/>
    <col min="27" max="27" width="14" style="133" bestFit="1" customWidth="1"/>
    <col min="28" max="28" width="8.140625" style="259" bestFit="1" customWidth="1"/>
    <col min="29" max="29" width="10.5703125" style="133" bestFit="1" customWidth="1"/>
    <col min="30" max="30" width="8.140625" style="259" bestFit="1" customWidth="1"/>
    <col min="31" max="31" width="21.28515625" style="259" hidden="1" customWidth="1"/>
    <col min="32" max="32" width="16.85546875" style="168" hidden="1" customWidth="1"/>
    <col min="33" max="33" width="51.7109375" style="133" hidden="1" customWidth="1"/>
    <col min="34" max="34" width="11.5703125" style="26" hidden="1" customWidth="1"/>
    <col min="35" max="35" width="10.28515625" style="133" bestFit="1" customWidth="1"/>
    <col min="36" max="16384" width="9.140625" style="133"/>
  </cols>
  <sheetData>
    <row r="1" spans="1:34" s="289" customFormat="1">
      <c r="A1" s="600" t="s">
        <v>252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1"/>
      <c r="AE1" s="210"/>
      <c r="AF1" s="64"/>
      <c r="AH1" s="27"/>
    </row>
    <row r="2" spans="1:34" s="289" customFormat="1">
      <c r="A2" s="32"/>
      <c r="B2" s="32"/>
      <c r="C2" s="598" t="s">
        <v>64</v>
      </c>
      <c r="D2" s="599"/>
      <c r="E2" s="595" t="s">
        <v>65</v>
      </c>
      <c r="F2" s="595"/>
      <c r="G2" s="598" t="s">
        <v>81</v>
      </c>
      <c r="H2" s="599"/>
      <c r="I2" s="598" t="s">
        <v>82</v>
      </c>
      <c r="J2" s="599"/>
      <c r="K2" s="598" t="s">
        <v>83</v>
      </c>
      <c r="L2" s="599"/>
      <c r="M2" s="598" t="s">
        <v>84</v>
      </c>
      <c r="N2" s="602"/>
      <c r="O2" s="598" t="s">
        <v>85</v>
      </c>
      <c r="P2" s="599"/>
      <c r="Q2" s="598" t="s">
        <v>86</v>
      </c>
      <c r="R2" s="599"/>
      <c r="S2" s="595" t="s">
        <v>87</v>
      </c>
      <c r="T2" s="595"/>
      <c r="U2" s="598" t="s">
        <v>120</v>
      </c>
      <c r="V2" s="599"/>
      <c r="W2" s="598" t="s">
        <v>121</v>
      </c>
      <c r="X2" s="599"/>
      <c r="Y2" s="595" t="s">
        <v>122</v>
      </c>
      <c r="Z2" s="595"/>
      <c r="AA2" s="596" t="s">
        <v>118</v>
      </c>
      <c r="AB2" s="596"/>
      <c r="AC2" s="597" t="s">
        <v>119</v>
      </c>
      <c r="AD2" s="597"/>
      <c r="AE2" s="211"/>
      <c r="AF2" s="64"/>
      <c r="AH2" s="27"/>
    </row>
    <row r="3" spans="1:34" s="289" customFormat="1" ht="15.75" thickBot="1">
      <c r="A3" s="30"/>
      <c r="B3" s="12" t="s">
        <v>69</v>
      </c>
      <c r="C3" s="173" t="s">
        <v>106</v>
      </c>
      <c r="D3" s="31" t="s">
        <v>80</v>
      </c>
      <c r="E3" s="173" t="s">
        <v>106</v>
      </c>
      <c r="F3" s="74" t="s">
        <v>80</v>
      </c>
      <c r="G3" s="173" t="s">
        <v>106</v>
      </c>
      <c r="H3" s="74" t="s">
        <v>80</v>
      </c>
      <c r="I3" s="173" t="s">
        <v>106</v>
      </c>
      <c r="J3" s="74" t="s">
        <v>80</v>
      </c>
      <c r="K3" s="29" t="s">
        <v>106</v>
      </c>
      <c r="L3" s="74" t="s">
        <v>80</v>
      </c>
      <c r="M3" s="29" t="s">
        <v>106</v>
      </c>
      <c r="N3" s="74" t="s">
        <v>80</v>
      </c>
      <c r="O3" s="29" t="s">
        <v>106</v>
      </c>
      <c r="P3" s="74" t="s">
        <v>80</v>
      </c>
      <c r="Q3" s="12" t="s">
        <v>106</v>
      </c>
      <c r="R3" s="74" t="s">
        <v>80</v>
      </c>
      <c r="S3" s="12" t="s">
        <v>106</v>
      </c>
      <c r="T3" s="74" t="s">
        <v>80</v>
      </c>
      <c r="U3" s="12" t="s">
        <v>106</v>
      </c>
      <c r="V3" s="74" t="s">
        <v>80</v>
      </c>
      <c r="W3" s="12" t="s">
        <v>106</v>
      </c>
      <c r="X3" s="74" t="s">
        <v>80</v>
      </c>
      <c r="Y3" s="12" t="s">
        <v>106</v>
      </c>
      <c r="Z3" s="74" t="s">
        <v>80</v>
      </c>
      <c r="AA3" s="101" t="s">
        <v>106</v>
      </c>
      <c r="AB3" s="102" t="s">
        <v>80</v>
      </c>
      <c r="AC3" s="85" t="s">
        <v>106</v>
      </c>
      <c r="AD3" s="86" t="s">
        <v>80</v>
      </c>
      <c r="AE3" s="212"/>
      <c r="AF3" s="64"/>
      <c r="AH3" s="27"/>
    </row>
    <row r="4" spans="1:34" s="289" customFormat="1">
      <c r="C4" s="54"/>
      <c r="D4" s="17"/>
      <c r="E4" s="54"/>
      <c r="F4" s="75"/>
      <c r="G4" s="54"/>
      <c r="H4" s="75"/>
      <c r="I4" s="54" t="s">
        <v>201</v>
      </c>
      <c r="J4" s="75"/>
      <c r="K4" s="21"/>
      <c r="L4" s="75"/>
      <c r="M4" s="21"/>
      <c r="N4" s="75"/>
      <c r="O4" s="21"/>
      <c r="P4" s="75"/>
      <c r="Q4" s="54" t="s">
        <v>201</v>
      </c>
      <c r="R4" s="75"/>
      <c r="S4" s="5"/>
      <c r="T4" s="75"/>
      <c r="U4" s="5"/>
      <c r="V4" s="75"/>
      <c r="W4" s="5"/>
      <c r="X4" s="75"/>
      <c r="Y4" s="5"/>
      <c r="Z4" s="75"/>
      <c r="AA4" s="103"/>
      <c r="AB4" s="104"/>
      <c r="AC4" s="87"/>
      <c r="AD4" s="88"/>
      <c r="AE4" s="160"/>
      <c r="AF4" s="64"/>
      <c r="AH4" s="27"/>
    </row>
    <row r="5" spans="1:34" s="5" customFormat="1">
      <c r="A5" s="6">
        <v>5004</v>
      </c>
      <c r="B5" s="16" t="s">
        <v>71</v>
      </c>
      <c r="C5" s="55"/>
      <c r="D5" s="356">
        <v>1</v>
      </c>
      <c r="E5" s="55"/>
      <c r="F5" s="356">
        <v>1</v>
      </c>
      <c r="G5" s="55"/>
      <c r="H5" s="356">
        <v>1</v>
      </c>
      <c r="I5" s="55"/>
      <c r="J5" s="356">
        <v>1</v>
      </c>
      <c r="K5" s="55"/>
      <c r="L5" s="356">
        <v>1</v>
      </c>
      <c r="M5" s="55"/>
      <c r="N5" s="356">
        <v>1</v>
      </c>
      <c r="O5" s="55"/>
      <c r="P5" s="356">
        <v>1</v>
      </c>
      <c r="Q5" s="55"/>
      <c r="R5" s="356">
        <v>1</v>
      </c>
      <c r="S5" s="55"/>
      <c r="T5" s="356">
        <v>1</v>
      </c>
      <c r="U5" s="55"/>
      <c r="V5" s="356">
        <v>1</v>
      </c>
      <c r="W5" s="55"/>
      <c r="X5" s="356">
        <v>1</v>
      </c>
      <c r="Y5" s="55"/>
      <c r="Z5" s="356">
        <v>1</v>
      </c>
      <c r="AA5" s="105">
        <f>C5+E5+G5+I5+K5+M5+O5+Q5+S5+U5+W5+Y5</f>
        <v>0</v>
      </c>
      <c r="AB5" s="126">
        <v>1</v>
      </c>
      <c r="AC5" s="89">
        <f>AA5/12</f>
        <v>0</v>
      </c>
      <c r="AD5" s="126">
        <v>1</v>
      </c>
      <c r="AE5" s="333" t="s">
        <v>201</v>
      </c>
      <c r="AF5" s="221" t="s">
        <v>106</v>
      </c>
      <c r="AG5" s="204" t="s">
        <v>171</v>
      </c>
      <c r="AH5" s="21">
        <f>Q5*5.09</f>
        <v>0</v>
      </c>
    </row>
    <row r="6" spans="1:34" s="289" customFormat="1">
      <c r="A6" s="5">
        <v>5005</v>
      </c>
      <c r="B6" s="5" t="s">
        <v>67</v>
      </c>
      <c r="C6" s="55"/>
      <c r="D6" s="68"/>
      <c r="E6" s="55"/>
      <c r="F6" s="68"/>
      <c r="G6" s="55"/>
      <c r="H6" s="68"/>
      <c r="I6" s="55"/>
      <c r="J6" s="68"/>
      <c r="K6" s="55"/>
      <c r="L6" s="68"/>
      <c r="M6" s="55"/>
      <c r="N6" s="67"/>
      <c r="O6" s="55"/>
      <c r="P6" s="68"/>
      <c r="Q6" s="55"/>
      <c r="R6" s="68"/>
      <c r="S6" s="55"/>
      <c r="T6" s="68"/>
      <c r="U6" s="55"/>
      <c r="V6" s="68"/>
      <c r="W6" s="55"/>
      <c r="X6" s="68"/>
      <c r="Y6" s="55"/>
      <c r="Z6" s="68"/>
      <c r="AA6" s="105">
        <f t="shared" ref="AA6:AA11" si="0">C6+E6+G6+I6+K6+M6+O6+Q6+S6+U6+W6+Y6</f>
        <v>0</v>
      </c>
      <c r="AB6" s="107"/>
      <c r="AC6" s="89">
        <f t="shared" ref="AC6:AC69" si="1">AA6/12</f>
        <v>0</v>
      </c>
      <c r="AD6" s="91"/>
      <c r="AE6" s="213"/>
      <c r="AF6" s="64"/>
      <c r="AH6" s="21">
        <f t="shared" ref="AH6:AH69" si="2">Q6*5.09</f>
        <v>0</v>
      </c>
    </row>
    <row r="7" spans="1:34" s="289" customFormat="1">
      <c r="A7" s="6">
        <v>5051</v>
      </c>
      <c r="B7" s="16" t="s">
        <v>74</v>
      </c>
      <c r="C7" s="55"/>
      <c r="D7" s="49" t="e">
        <f>C7/C$5</f>
        <v>#DIV/0!</v>
      </c>
      <c r="E7" s="55"/>
      <c r="F7" s="49" t="e">
        <f>E7/E$5</f>
        <v>#DIV/0!</v>
      </c>
      <c r="G7" s="55"/>
      <c r="H7" s="49" t="e">
        <f>G7/G$5</f>
        <v>#DIV/0!</v>
      </c>
      <c r="I7" s="55"/>
      <c r="J7" s="49" t="e">
        <f>I7/I$5</f>
        <v>#DIV/0!</v>
      </c>
      <c r="K7" s="55"/>
      <c r="L7" s="49" t="e">
        <f>K7/K$5</f>
        <v>#DIV/0!</v>
      </c>
      <c r="M7" s="55"/>
      <c r="N7" s="49" t="e">
        <f>M7/M$5</f>
        <v>#DIV/0!</v>
      </c>
      <c r="O7" s="55"/>
      <c r="P7" s="49" t="e">
        <f>O7/O$5</f>
        <v>#DIV/0!</v>
      </c>
      <c r="Q7" s="55"/>
      <c r="R7" s="49" t="e">
        <f>Q7/Q$5</f>
        <v>#DIV/0!</v>
      </c>
      <c r="S7" s="55"/>
      <c r="T7" s="49" t="e">
        <f>S7/S$5</f>
        <v>#DIV/0!</v>
      </c>
      <c r="U7" s="55"/>
      <c r="V7" s="49" t="e">
        <f>U7/U$5</f>
        <v>#DIV/0!</v>
      </c>
      <c r="W7" s="55"/>
      <c r="X7" s="49" t="e">
        <f>W7/W$5</f>
        <v>#DIV/0!</v>
      </c>
      <c r="Y7" s="55"/>
      <c r="Z7" s="49" t="e">
        <f>Y7/Y$5</f>
        <v>#DIV/0!</v>
      </c>
      <c r="AA7" s="105">
        <f t="shared" si="0"/>
        <v>0</v>
      </c>
      <c r="AB7" s="108" t="e">
        <f>AA7/AA$5</f>
        <v>#DIV/0!</v>
      </c>
      <c r="AC7" s="89">
        <f t="shared" si="1"/>
        <v>0</v>
      </c>
      <c r="AD7" s="92" t="e">
        <f>AC7/AC$5</f>
        <v>#DIV/0!</v>
      </c>
      <c r="AE7" s="214"/>
      <c r="AF7" s="64"/>
      <c r="AH7" s="21">
        <f t="shared" si="2"/>
        <v>0</v>
      </c>
    </row>
    <row r="8" spans="1:34" s="289" customFormat="1">
      <c r="A8" s="289">
        <v>5052</v>
      </c>
      <c r="B8" s="289" t="s">
        <v>90</v>
      </c>
      <c r="C8" s="55"/>
      <c r="D8" s="49" t="e">
        <f>C8/C$5</f>
        <v>#DIV/0!</v>
      </c>
      <c r="E8" s="55"/>
      <c r="F8" s="49" t="e">
        <f t="shared" ref="F8:F9" si="3">E8/E$5</f>
        <v>#DIV/0!</v>
      </c>
      <c r="G8" s="55"/>
      <c r="H8" s="49" t="e">
        <f t="shared" ref="H8:H9" si="4">G8/G$5</f>
        <v>#DIV/0!</v>
      </c>
      <c r="I8" s="55"/>
      <c r="J8" s="49" t="e">
        <f t="shared" ref="J8:J9" si="5">I8/I$5</f>
        <v>#DIV/0!</v>
      </c>
      <c r="K8" s="55"/>
      <c r="L8" s="49" t="e">
        <f t="shared" ref="L8:L9" si="6">K8/K$5</f>
        <v>#DIV/0!</v>
      </c>
      <c r="M8" s="55"/>
      <c r="N8" s="49" t="e">
        <f t="shared" ref="N8:N9" si="7">M8/M$5</f>
        <v>#DIV/0!</v>
      </c>
      <c r="O8" s="55"/>
      <c r="P8" s="49" t="e">
        <f t="shared" ref="P8:P9" si="8">O8/O$5</f>
        <v>#DIV/0!</v>
      </c>
      <c r="Q8" s="55"/>
      <c r="R8" s="49" t="e">
        <f t="shared" ref="R8:R9" si="9">Q8/Q$5</f>
        <v>#DIV/0!</v>
      </c>
      <c r="S8" s="55"/>
      <c r="T8" s="49" t="e">
        <f t="shared" ref="T8:T9" si="10">S8/S$5</f>
        <v>#DIV/0!</v>
      </c>
      <c r="U8" s="55"/>
      <c r="V8" s="49" t="e">
        <f t="shared" ref="V8:V9" si="11">U8/U$5</f>
        <v>#DIV/0!</v>
      </c>
      <c r="W8" s="55"/>
      <c r="X8" s="49" t="e">
        <f t="shared" ref="X8:X9" si="12">W8/W$5</f>
        <v>#DIV/0!</v>
      </c>
      <c r="Y8" s="55"/>
      <c r="Z8" s="49" t="e">
        <f t="shared" ref="Z8:Z9" si="13">Y8/Y$5</f>
        <v>#DIV/0!</v>
      </c>
      <c r="AA8" s="105">
        <f t="shared" si="0"/>
        <v>0</v>
      </c>
      <c r="AB8" s="108" t="e">
        <f t="shared" ref="AB8:AB11" si="14">AA8/AA$5</f>
        <v>#DIV/0!</v>
      </c>
      <c r="AC8" s="89">
        <f t="shared" si="1"/>
        <v>0</v>
      </c>
      <c r="AD8" s="92" t="e">
        <f t="shared" ref="AD8:AD11" si="15">AC8/AC$5</f>
        <v>#DIV/0!</v>
      </c>
      <c r="AE8" s="214"/>
      <c r="AF8" s="54"/>
      <c r="AH8" s="21">
        <f t="shared" si="2"/>
        <v>0</v>
      </c>
    </row>
    <row r="9" spans="1:34" s="289" customFormat="1">
      <c r="A9" s="289">
        <v>5101</v>
      </c>
      <c r="B9" s="289" t="s">
        <v>46</v>
      </c>
      <c r="C9" s="55"/>
      <c r="D9" s="49" t="e">
        <f>C9/C$5</f>
        <v>#DIV/0!</v>
      </c>
      <c r="E9" s="55"/>
      <c r="F9" s="49" t="e">
        <f t="shared" si="3"/>
        <v>#DIV/0!</v>
      </c>
      <c r="G9" s="55"/>
      <c r="H9" s="49" t="e">
        <f t="shared" si="4"/>
        <v>#DIV/0!</v>
      </c>
      <c r="I9" s="55"/>
      <c r="J9" s="49" t="e">
        <f t="shared" si="5"/>
        <v>#DIV/0!</v>
      </c>
      <c r="K9" s="55"/>
      <c r="L9" s="49" t="e">
        <f t="shared" si="6"/>
        <v>#DIV/0!</v>
      </c>
      <c r="M9" s="55"/>
      <c r="N9" s="49" t="e">
        <f t="shared" si="7"/>
        <v>#DIV/0!</v>
      </c>
      <c r="O9" s="55"/>
      <c r="P9" s="49" t="e">
        <f t="shared" si="8"/>
        <v>#DIV/0!</v>
      </c>
      <c r="Q9" s="55"/>
      <c r="R9" s="49" t="e">
        <f t="shared" si="9"/>
        <v>#DIV/0!</v>
      </c>
      <c r="S9" s="55"/>
      <c r="T9" s="49" t="e">
        <f t="shared" si="10"/>
        <v>#DIV/0!</v>
      </c>
      <c r="U9" s="55"/>
      <c r="V9" s="49" t="e">
        <f t="shared" si="11"/>
        <v>#DIV/0!</v>
      </c>
      <c r="W9" s="55"/>
      <c r="X9" s="49" t="e">
        <f t="shared" si="12"/>
        <v>#DIV/0!</v>
      </c>
      <c r="Y9" s="55"/>
      <c r="Z9" s="49" t="e">
        <f t="shared" si="13"/>
        <v>#DIV/0!</v>
      </c>
      <c r="AA9" s="105">
        <f t="shared" si="0"/>
        <v>0</v>
      </c>
      <c r="AB9" s="108" t="e">
        <f t="shared" si="14"/>
        <v>#DIV/0!</v>
      </c>
      <c r="AC9" s="89">
        <f t="shared" si="1"/>
        <v>0</v>
      </c>
      <c r="AD9" s="92" t="e">
        <f t="shared" si="15"/>
        <v>#DIV/0!</v>
      </c>
      <c r="AE9" s="214"/>
      <c r="AF9" s="54"/>
      <c r="AH9" s="21">
        <f t="shared" si="2"/>
        <v>0</v>
      </c>
    </row>
    <row r="10" spans="1:34" s="289" customFormat="1">
      <c r="A10" s="289">
        <v>5102</v>
      </c>
      <c r="B10" s="289" t="s">
        <v>196</v>
      </c>
      <c r="C10" s="55"/>
      <c r="D10" s="49" t="e">
        <f>C10/C$5</f>
        <v>#DIV/0!</v>
      </c>
      <c r="E10" s="55"/>
      <c r="F10" s="49"/>
      <c r="G10" s="55"/>
      <c r="H10" s="49"/>
      <c r="I10" s="55"/>
      <c r="J10" s="49" t="e">
        <f t="shared" ref="J10:J11" si="16">I10/I$5</f>
        <v>#DIV/0!</v>
      </c>
      <c r="K10" s="55"/>
      <c r="L10" s="49" t="e">
        <f t="shared" ref="L10:L11" si="17">K10/K$5</f>
        <v>#DIV/0!</v>
      </c>
      <c r="M10" s="55"/>
      <c r="N10" s="49" t="e">
        <f t="shared" ref="N10:N11" si="18">M10/M$5</f>
        <v>#DIV/0!</v>
      </c>
      <c r="O10" s="55"/>
      <c r="P10" s="49" t="e">
        <f t="shared" ref="P10:P11" si="19">O10/O$5</f>
        <v>#DIV/0!</v>
      </c>
      <c r="Q10" s="55"/>
      <c r="R10" s="49" t="e">
        <f t="shared" ref="R10:R11" si="20">Q10/Q$5</f>
        <v>#DIV/0!</v>
      </c>
      <c r="S10" s="55"/>
      <c r="T10" s="49" t="e">
        <f t="shared" ref="T10:T11" si="21">S10/S$5</f>
        <v>#DIV/0!</v>
      </c>
      <c r="U10" s="55"/>
      <c r="V10" s="49" t="e">
        <f t="shared" ref="V10:V11" si="22">U10/U$5</f>
        <v>#DIV/0!</v>
      </c>
      <c r="W10" s="55"/>
      <c r="X10" s="49" t="e">
        <f t="shared" ref="X10:X11" si="23">W10/W$5</f>
        <v>#DIV/0!</v>
      </c>
      <c r="Y10" s="55"/>
      <c r="Z10" s="49" t="e">
        <f t="shared" ref="Z10:Z11" si="24">Y10/Y$5</f>
        <v>#DIV/0!</v>
      </c>
      <c r="AA10" s="105">
        <f t="shared" si="0"/>
        <v>0</v>
      </c>
      <c r="AB10" s="108" t="e">
        <f t="shared" si="14"/>
        <v>#DIV/0!</v>
      </c>
      <c r="AC10" s="89">
        <f t="shared" si="1"/>
        <v>0</v>
      </c>
      <c r="AD10" s="92" t="e">
        <f t="shared" si="15"/>
        <v>#DIV/0!</v>
      </c>
      <c r="AE10" s="214"/>
      <c r="AF10" s="54"/>
      <c r="AH10" s="21">
        <f t="shared" si="2"/>
        <v>0</v>
      </c>
    </row>
    <row r="11" spans="1:34" s="289" customFormat="1">
      <c r="A11" s="289">
        <v>5103</v>
      </c>
      <c r="B11" s="289" t="s">
        <v>63</v>
      </c>
      <c r="C11" s="46"/>
      <c r="D11" s="49" t="e">
        <f>C11/C$5</f>
        <v>#DIV/0!</v>
      </c>
      <c r="E11" s="46"/>
      <c r="F11" s="49" t="e">
        <f t="shared" ref="F11" si="25">E11/E$5</f>
        <v>#DIV/0!</v>
      </c>
      <c r="G11" s="46"/>
      <c r="H11" s="49" t="e">
        <f t="shared" ref="H11" si="26">G11/G$5</f>
        <v>#DIV/0!</v>
      </c>
      <c r="I11" s="46"/>
      <c r="J11" s="49" t="e">
        <f t="shared" si="16"/>
        <v>#DIV/0!</v>
      </c>
      <c r="K11" s="46"/>
      <c r="L11" s="49" t="e">
        <f t="shared" si="17"/>
        <v>#DIV/0!</v>
      </c>
      <c r="M11" s="46"/>
      <c r="N11" s="49" t="e">
        <f t="shared" si="18"/>
        <v>#DIV/0!</v>
      </c>
      <c r="O11" s="46"/>
      <c r="P11" s="49" t="e">
        <f t="shared" si="19"/>
        <v>#DIV/0!</v>
      </c>
      <c r="Q11" s="46"/>
      <c r="R11" s="49" t="e">
        <f t="shared" si="20"/>
        <v>#DIV/0!</v>
      </c>
      <c r="S11" s="46"/>
      <c r="T11" s="49" t="e">
        <f t="shared" si="21"/>
        <v>#DIV/0!</v>
      </c>
      <c r="U11" s="46"/>
      <c r="V11" s="49" t="e">
        <f t="shared" si="22"/>
        <v>#DIV/0!</v>
      </c>
      <c r="W11" s="46"/>
      <c r="X11" s="49" t="e">
        <f t="shared" si="23"/>
        <v>#DIV/0!</v>
      </c>
      <c r="Y11" s="46"/>
      <c r="Z11" s="49" t="e">
        <f t="shared" si="24"/>
        <v>#DIV/0!</v>
      </c>
      <c r="AA11" s="105">
        <f t="shared" si="0"/>
        <v>0</v>
      </c>
      <c r="AB11" s="108" t="e">
        <f t="shared" si="14"/>
        <v>#DIV/0!</v>
      </c>
      <c r="AC11" s="89">
        <f t="shared" si="1"/>
        <v>0</v>
      </c>
      <c r="AD11" s="92" t="e">
        <f t="shared" si="15"/>
        <v>#DIV/0!</v>
      </c>
      <c r="AE11" s="213"/>
      <c r="AF11" s="54"/>
      <c r="AH11" s="21">
        <f t="shared" si="2"/>
        <v>0</v>
      </c>
    </row>
    <row r="12" spans="1:34" s="289" customFormat="1" ht="15.75" thickBot="1">
      <c r="A12" s="7">
        <v>5149</v>
      </c>
      <c r="B12" s="7" t="s">
        <v>66</v>
      </c>
      <c r="C12" s="56">
        <f>C5+C6-C7-C8-C9-C10+C11</f>
        <v>0</v>
      </c>
      <c r="D12" s="257" t="e">
        <f>C12/C12</f>
        <v>#DIV/0!</v>
      </c>
      <c r="E12" s="56">
        <f>E5+E6-E7-E8-E9-E10+E11</f>
        <v>0</v>
      </c>
      <c r="F12" s="257" t="e">
        <f>E12/E12</f>
        <v>#DIV/0!</v>
      </c>
      <c r="G12" s="56">
        <f>G5+G6-G7-G8-G9-G10+G11</f>
        <v>0</v>
      </c>
      <c r="H12" s="71" t="e">
        <f>G12/G12</f>
        <v>#DIV/0!</v>
      </c>
      <c r="I12" s="56">
        <f>I5+I6-I7-I8-I9-I10+I11</f>
        <v>0</v>
      </c>
      <c r="J12" s="257" t="e">
        <f>I12/I12</f>
        <v>#DIV/0!</v>
      </c>
      <c r="K12" s="56">
        <f>K5+K6-K7-K8-K9-K10+K11</f>
        <v>0</v>
      </c>
      <c r="L12" s="257" t="e">
        <f>K12/K12</f>
        <v>#DIV/0!</v>
      </c>
      <c r="M12" s="56">
        <f>M5+M6-M7-M8-M9-M10+M11</f>
        <v>0</v>
      </c>
      <c r="N12" s="257" t="e">
        <f>M12/M12</f>
        <v>#DIV/0!</v>
      </c>
      <c r="O12" s="56">
        <f>O5+O6-O7-O8-O9-O10+O11</f>
        <v>0</v>
      </c>
      <c r="P12" s="257" t="e">
        <f>O12/O12</f>
        <v>#DIV/0!</v>
      </c>
      <c r="Q12" s="56">
        <f>Q5+Q6-Q7-Q8-Q9-Q10+Q11</f>
        <v>0</v>
      </c>
      <c r="R12" s="257" t="e">
        <f>Q12/Q12</f>
        <v>#DIV/0!</v>
      </c>
      <c r="S12" s="56">
        <f>S5+S6-S7-S8-S9-S10+S11</f>
        <v>0</v>
      </c>
      <c r="T12" s="257" t="e">
        <f>S12/S12</f>
        <v>#DIV/0!</v>
      </c>
      <c r="U12" s="56">
        <f>U5+U6-U7-U8-U9-U10+U11</f>
        <v>0</v>
      </c>
      <c r="V12" s="71" t="e">
        <f>U12/U12</f>
        <v>#DIV/0!</v>
      </c>
      <c r="W12" s="56">
        <f>W5+W6-W7-W8-W9-W10+W11</f>
        <v>0</v>
      </c>
      <c r="X12" s="71" t="e">
        <f>W12/W12</f>
        <v>#DIV/0!</v>
      </c>
      <c r="Y12" s="56">
        <f>Y5+Y6-Y7-Y8-Y9-Y10+Y11</f>
        <v>0</v>
      </c>
      <c r="Z12" s="71" t="e">
        <f>Y12/Y12</f>
        <v>#DIV/0!</v>
      </c>
      <c r="AA12" s="109">
        <f>AA5+AA6-AA7-AA8-AA9-AA10+AA11</f>
        <v>0</v>
      </c>
      <c r="AB12" s="110" t="e">
        <f>AA12/AA12</f>
        <v>#DIV/0!</v>
      </c>
      <c r="AC12" s="93">
        <f t="shared" si="1"/>
        <v>0</v>
      </c>
      <c r="AD12" s="94" t="e">
        <f>AC12/AC12</f>
        <v>#DIV/0!</v>
      </c>
      <c r="AE12" s="218" t="s">
        <v>173</v>
      </c>
      <c r="AF12" s="219">
        <v>342108</v>
      </c>
      <c r="AG12" s="209" t="s">
        <v>174</v>
      </c>
      <c r="AH12" s="21">
        <f t="shared" si="2"/>
        <v>0</v>
      </c>
    </row>
    <row r="13" spans="1:34" s="289" customFormat="1" ht="15.75" thickTop="1">
      <c r="A13" s="289">
        <v>5151</v>
      </c>
      <c r="B13" s="289" t="s">
        <v>47</v>
      </c>
      <c r="C13" s="46"/>
      <c r="D13" s="68"/>
      <c r="E13" s="46"/>
      <c r="F13" s="68"/>
      <c r="G13" s="46"/>
      <c r="H13" s="68"/>
      <c r="I13" s="46"/>
      <c r="J13" s="68"/>
      <c r="K13" s="46"/>
      <c r="L13" s="68"/>
      <c r="M13" s="46"/>
      <c r="N13" s="68"/>
      <c r="O13" s="46"/>
      <c r="P13" s="68"/>
      <c r="Q13" s="46"/>
      <c r="R13" s="68"/>
      <c r="S13" s="46"/>
      <c r="T13" s="68"/>
      <c r="U13" s="46"/>
      <c r="V13" s="68"/>
      <c r="W13" s="46"/>
      <c r="X13" s="68"/>
      <c r="Y13" s="46"/>
      <c r="Z13" s="68"/>
      <c r="AA13" s="105">
        <f>C13+E13+G13+I13+K13+M13+O13+Q13+S13+U13+W13+Y13</f>
        <v>0</v>
      </c>
      <c r="AB13" s="107"/>
      <c r="AC13" s="89">
        <f t="shared" si="1"/>
        <v>0</v>
      </c>
      <c r="AD13" s="91"/>
      <c r="AE13" s="213"/>
      <c r="AF13" s="54"/>
      <c r="AH13" s="21">
        <f t="shared" si="2"/>
        <v>0</v>
      </c>
    </row>
    <row r="14" spans="1:34" s="289" customFormat="1">
      <c r="A14" s="289">
        <v>5152</v>
      </c>
      <c r="B14" s="289" t="s">
        <v>48</v>
      </c>
      <c r="C14" s="46"/>
      <c r="D14" s="68"/>
      <c r="E14" s="46"/>
      <c r="F14" s="68"/>
      <c r="G14" s="46"/>
      <c r="H14" s="68"/>
      <c r="I14" s="46"/>
      <c r="J14" s="68"/>
      <c r="K14" s="46"/>
      <c r="L14" s="68"/>
      <c r="M14" s="46"/>
      <c r="N14" s="68"/>
      <c r="O14" s="46"/>
      <c r="P14" s="68"/>
      <c r="Q14" s="46"/>
      <c r="R14" s="68"/>
      <c r="S14" s="46"/>
      <c r="T14" s="68"/>
      <c r="U14" s="46"/>
      <c r="V14" s="68"/>
      <c r="W14" s="46"/>
      <c r="X14" s="68"/>
      <c r="Y14" s="46"/>
      <c r="Z14" s="68"/>
      <c r="AA14" s="105">
        <f>C14+E14+G14+I14+K14+M14+O14+Q14+S14+U14+W14+Y14</f>
        <v>0</v>
      </c>
      <c r="AB14" s="107"/>
      <c r="AC14" s="89">
        <f t="shared" si="1"/>
        <v>0</v>
      </c>
      <c r="AD14" s="91"/>
      <c r="AE14" s="213"/>
      <c r="AF14" s="54"/>
      <c r="AH14" s="21">
        <f t="shared" si="2"/>
        <v>0</v>
      </c>
    </row>
    <row r="15" spans="1:34" s="289" customFormat="1" ht="15.75" thickBot="1">
      <c r="A15" s="39">
        <v>5198</v>
      </c>
      <c r="B15" s="39" t="s">
        <v>107</v>
      </c>
      <c r="C15" s="57">
        <f>C13+C14</f>
        <v>0</v>
      </c>
      <c r="D15" s="72"/>
      <c r="E15" s="57">
        <f>E13+E14</f>
        <v>0</v>
      </c>
      <c r="F15" s="72"/>
      <c r="G15" s="57">
        <f>G13+G14</f>
        <v>0</v>
      </c>
      <c r="H15" s="72"/>
      <c r="I15" s="57">
        <f>I13+I14</f>
        <v>0</v>
      </c>
      <c r="J15" s="72"/>
      <c r="K15" s="57">
        <f>K13+K14</f>
        <v>0</v>
      </c>
      <c r="L15" s="72"/>
      <c r="M15" s="57">
        <f>M13+M14</f>
        <v>0</v>
      </c>
      <c r="N15" s="72"/>
      <c r="O15" s="57">
        <f>O13+O14</f>
        <v>0</v>
      </c>
      <c r="P15" s="72"/>
      <c r="Q15" s="57">
        <f>Q13+Q14</f>
        <v>0</v>
      </c>
      <c r="R15" s="72"/>
      <c r="S15" s="57">
        <f>S13+S14</f>
        <v>0</v>
      </c>
      <c r="T15" s="72"/>
      <c r="U15" s="57">
        <f>U13+U14</f>
        <v>0</v>
      </c>
      <c r="V15" s="72"/>
      <c r="W15" s="57">
        <f>W13+W14</f>
        <v>0</v>
      </c>
      <c r="X15" s="72"/>
      <c r="Y15" s="57">
        <f>Y13+Y14</f>
        <v>0</v>
      </c>
      <c r="Z15" s="72"/>
      <c r="AA15" s="109">
        <f>AA13+AA14</f>
        <v>0</v>
      </c>
      <c r="AB15" s="111"/>
      <c r="AC15" s="93">
        <f t="shared" si="1"/>
        <v>0</v>
      </c>
      <c r="AD15" s="95"/>
      <c r="AE15" s="213"/>
      <c r="AF15" s="54"/>
      <c r="AH15" s="21">
        <f t="shared" si="2"/>
        <v>0</v>
      </c>
    </row>
    <row r="16" spans="1:34" s="289" customFormat="1" ht="16.5" thickTop="1" thickBot="1">
      <c r="A16" s="41">
        <v>5199</v>
      </c>
      <c r="B16" s="41" t="s">
        <v>70</v>
      </c>
      <c r="C16" s="58">
        <f>C12+C15</f>
        <v>0</v>
      </c>
      <c r="D16" s="73" t="e">
        <f>C16/C12</f>
        <v>#DIV/0!</v>
      </c>
      <c r="E16" s="58">
        <f>E12+E15</f>
        <v>0</v>
      </c>
      <c r="F16" s="73" t="e">
        <f>E16/E12</f>
        <v>#DIV/0!</v>
      </c>
      <c r="G16" s="58">
        <f>G12+G15</f>
        <v>0</v>
      </c>
      <c r="H16" s="73" t="e">
        <f>G16/G12</f>
        <v>#DIV/0!</v>
      </c>
      <c r="I16" s="58">
        <f>I12+I15</f>
        <v>0</v>
      </c>
      <c r="J16" s="73" t="e">
        <f>I16/I12</f>
        <v>#DIV/0!</v>
      </c>
      <c r="K16" s="58">
        <f>K12+K15</f>
        <v>0</v>
      </c>
      <c r="L16" s="73" t="e">
        <f>K16/K12</f>
        <v>#DIV/0!</v>
      </c>
      <c r="M16" s="58">
        <f>M12+M15</f>
        <v>0</v>
      </c>
      <c r="N16" s="73" t="e">
        <f>M16/M12</f>
        <v>#DIV/0!</v>
      </c>
      <c r="O16" s="58">
        <f>O12+O15</f>
        <v>0</v>
      </c>
      <c r="P16" s="73" t="e">
        <f>O16/O12</f>
        <v>#DIV/0!</v>
      </c>
      <c r="Q16" s="58">
        <f>Q12+Q15</f>
        <v>0</v>
      </c>
      <c r="R16" s="73" t="e">
        <f>Q16/Q12</f>
        <v>#DIV/0!</v>
      </c>
      <c r="S16" s="58">
        <f>S12+S15</f>
        <v>0</v>
      </c>
      <c r="T16" s="73" t="e">
        <f>S16/S12</f>
        <v>#DIV/0!</v>
      </c>
      <c r="U16" s="58">
        <f>U12+U15</f>
        <v>0</v>
      </c>
      <c r="V16" s="73" t="e">
        <f>U16/U12</f>
        <v>#DIV/0!</v>
      </c>
      <c r="W16" s="58">
        <f>W12+W15</f>
        <v>0</v>
      </c>
      <c r="X16" s="73" t="e">
        <f>W16/W12</f>
        <v>#DIV/0!</v>
      </c>
      <c r="Y16" s="58">
        <f>Y12+Y15</f>
        <v>0</v>
      </c>
      <c r="Z16" s="73" t="e">
        <f>Y16/Y12</f>
        <v>#DIV/0!</v>
      </c>
      <c r="AA16" s="112">
        <f>AA12+AA15</f>
        <v>0</v>
      </c>
      <c r="AB16" s="113" t="e">
        <f>AA16/AA12</f>
        <v>#DIV/0!</v>
      </c>
      <c r="AC16" s="96">
        <f t="shared" si="1"/>
        <v>0</v>
      </c>
      <c r="AD16" s="97" t="e">
        <f>AC16/AC12</f>
        <v>#DIV/0!</v>
      </c>
      <c r="AE16" s="218" t="s">
        <v>173</v>
      </c>
      <c r="AF16" s="220">
        <v>0.52810000000000001</v>
      </c>
      <c r="AG16" s="209" t="s">
        <v>175</v>
      </c>
      <c r="AH16" s="21">
        <f t="shared" si="2"/>
        <v>0</v>
      </c>
    </row>
    <row r="17" spans="1:34" s="289" customFormat="1" ht="15.75" thickTop="1">
      <c r="A17" s="13">
        <v>5502</v>
      </c>
      <c r="B17" s="5" t="s">
        <v>49</v>
      </c>
      <c r="C17" s="189"/>
      <c r="D17" s="49" t="e">
        <f>C17/C12</f>
        <v>#DIV/0!</v>
      </c>
      <c r="E17" s="189"/>
      <c r="F17" s="49" t="e">
        <f>E17/E12</f>
        <v>#DIV/0!</v>
      </c>
      <c r="G17" s="189"/>
      <c r="H17" s="49" t="e">
        <f>G17/G12</f>
        <v>#DIV/0!</v>
      </c>
      <c r="I17" s="189"/>
      <c r="J17" s="49" t="e">
        <f>I17/I12</f>
        <v>#DIV/0!</v>
      </c>
      <c r="K17" s="189"/>
      <c r="L17" s="49" t="e">
        <f>K17/K12</f>
        <v>#DIV/0!</v>
      </c>
      <c r="M17" s="189"/>
      <c r="N17" s="49" t="e">
        <f>M17/M12</f>
        <v>#DIV/0!</v>
      </c>
      <c r="O17" s="189"/>
      <c r="P17" s="49" t="e">
        <f>O17/O12</f>
        <v>#DIV/0!</v>
      </c>
      <c r="Q17" s="189"/>
      <c r="R17" s="49" t="e">
        <f>Q17/Q12</f>
        <v>#DIV/0!</v>
      </c>
      <c r="S17" s="189"/>
      <c r="T17" s="49" t="e">
        <f>S17/S12</f>
        <v>#DIV/0!</v>
      </c>
      <c r="U17" s="189"/>
      <c r="V17" s="49" t="e">
        <f>U17/U12</f>
        <v>#DIV/0!</v>
      </c>
      <c r="W17" s="189"/>
      <c r="X17" s="49" t="e">
        <f>W17/W12</f>
        <v>#DIV/0!</v>
      </c>
      <c r="Y17" s="189"/>
      <c r="Z17" s="49" t="e">
        <f>Y17/Y12</f>
        <v>#DIV/0!</v>
      </c>
      <c r="AA17" s="105">
        <f>C17+E17+G17+I17+K17+M17+O17+Q17+S17+U17+W17+Y17</f>
        <v>0</v>
      </c>
      <c r="AB17" s="108" t="e">
        <f>AA17/AA12</f>
        <v>#DIV/0!</v>
      </c>
      <c r="AC17" s="89">
        <f t="shared" si="1"/>
        <v>0</v>
      </c>
      <c r="AD17" s="92" t="e">
        <f>AC17/AC12</f>
        <v>#DIV/0!</v>
      </c>
      <c r="AE17" s="160"/>
      <c r="AF17" s="64"/>
      <c r="AH17" s="21">
        <f t="shared" si="2"/>
        <v>0</v>
      </c>
    </row>
    <row r="18" spans="1:34" s="289" customFormat="1">
      <c r="A18" s="3">
        <v>5503</v>
      </c>
      <c r="B18" s="3" t="s">
        <v>50</v>
      </c>
      <c r="C18" s="46"/>
      <c r="D18" s="68"/>
      <c r="E18" s="46"/>
      <c r="F18" s="68"/>
      <c r="G18" s="46"/>
      <c r="H18" s="68"/>
      <c r="I18" s="46"/>
      <c r="J18" s="68"/>
      <c r="K18" s="46"/>
      <c r="L18" s="68"/>
      <c r="M18" s="46"/>
      <c r="N18" s="68"/>
      <c r="O18" s="46"/>
      <c r="P18" s="68"/>
      <c r="Q18" s="46"/>
      <c r="R18" s="68"/>
      <c r="S18" s="46"/>
      <c r="T18" s="68">
        <v>0</v>
      </c>
      <c r="U18" s="46"/>
      <c r="V18" s="68"/>
      <c r="W18" s="46"/>
      <c r="X18" s="68"/>
      <c r="Y18" s="46"/>
      <c r="Z18" s="68"/>
      <c r="AA18" s="105">
        <f>C18+E18+G18+I18+K18+M18+O18+Q18+S18+U18+W18+Y18</f>
        <v>0</v>
      </c>
      <c r="AB18" s="107"/>
      <c r="AC18" s="89">
        <f t="shared" si="1"/>
        <v>0</v>
      </c>
      <c r="AD18" s="91"/>
      <c r="AE18" s="213"/>
      <c r="AF18" s="54"/>
      <c r="AH18" s="21">
        <f t="shared" si="2"/>
        <v>0</v>
      </c>
    </row>
    <row r="19" spans="1:34" s="289" customFormat="1">
      <c r="A19" s="3">
        <v>5504</v>
      </c>
      <c r="B19" s="3" t="s">
        <v>51</v>
      </c>
      <c r="C19" s="46"/>
      <c r="D19" s="49" t="e">
        <f>C19/C12</f>
        <v>#DIV/0!</v>
      </c>
      <c r="E19" s="46"/>
      <c r="F19" s="49" t="e">
        <f>E19/E12</f>
        <v>#DIV/0!</v>
      </c>
      <c r="G19" s="46"/>
      <c r="H19" s="49" t="e">
        <f>G19/G12</f>
        <v>#DIV/0!</v>
      </c>
      <c r="I19" s="46"/>
      <c r="J19" s="49" t="e">
        <f>I19/I12</f>
        <v>#DIV/0!</v>
      </c>
      <c r="K19" s="46"/>
      <c r="L19" s="49" t="e">
        <f>K19/K12</f>
        <v>#DIV/0!</v>
      </c>
      <c r="M19" s="46"/>
      <c r="N19" s="49" t="e">
        <f>M19/M12</f>
        <v>#DIV/0!</v>
      </c>
      <c r="O19" s="46"/>
      <c r="P19" s="49" t="e">
        <f>O19/O12</f>
        <v>#DIV/0!</v>
      </c>
      <c r="Q19" s="46"/>
      <c r="R19" s="49" t="e">
        <f>Q19/Q12</f>
        <v>#DIV/0!</v>
      </c>
      <c r="S19" s="46"/>
      <c r="T19" s="49" t="e">
        <f>S19/S12</f>
        <v>#DIV/0!</v>
      </c>
      <c r="U19" s="46"/>
      <c r="V19" s="49" t="e">
        <f>U19/U12</f>
        <v>#DIV/0!</v>
      </c>
      <c r="W19" s="46"/>
      <c r="X19" s="49" t="e">
        <f>W19/W12</f>
        <v>#DIV/0!</v>
      </c>
      <c r="Y19" s="46"/>
      <c r="Z19" s="49" t="e">
        <f>Y19/Y12</f>
        <v>#DIV/0!</v>
      </c>
      <c r="AA19" s="105">
        <f>C19+E19+G19+I19+K19+M19+O19+Q19+S19+U19+W19+Y19</f>
        <v>0</v>
      </c>
      <c r="AB19" s="108" t="e">
        <f>AA19/AA12</f>
        <v>#DIV/0!</v>
      </c>
      <c r="AC19" s="89">
        <f t="shared" si="1"/>
        <v>0</v>
      </c>
      <c r="AD19" s="92" t="e">
        <f>AC19/AC12</f>
        <v>#DIV/0!</v>
      </c>
      <c r="AE19" s="214"/>
      <c r="AF19" s="54"/>
      <c r="AH19" s="21">
        <f t="shared" si="2"/>
        <v>0</v>
      </c>
    </row>
    <row r="20" spans="1:34" s="289" customFormat="1">
      <c r="A20" s="3">
        <v>5505</v>
      </c>
      <c r="B20" s="3" t="s">
        <v>52</v>
      </c>
      <c r="C20" s="46"/>
      <c r="D20" s="68"/>
      <c r="E20" s="46"/>
      <c r="F20" s="68"/>
      <c r="G20" s="46"/>
      <c r="H20" s="68"/>
      <c r="I20" s="46"/>
      <c r="J20" s="68"/>
      <c r="K20" s="46"/>
      <c r="L20" s="68"/>
      <c r="M20" s="46"/>
      <c r="N20" s="68"/>
      <c r="O20" s="46"/>
      <c r="P20" s="68"/>
      <c r="Q20" s="46"/>
      <c r="R20" s="68"/>
      <c r="S20" s="46"/>
      <c r="T20" s="68"/>
      <c r="U20" s="46"/>
      <c r="V20" s="68"/>
      <c r="W20" s="46"/>
      <c r="X20" s="68"/>
      <c r="Y20" s="46"/>
      <c r="Z20" s="68"/>
      <c r="AA20" s="105">
        <f>C20+E20+G20+I20+K20+M20+O20+Q20+S20+U20+W20+Y20</f>
        <v>0</v>
      </c>
      <c r="AB20" s="107"/>
      <c r="AC20" s="89">
        <f t="shared" si="1"/>
        <v>0</v>
      </c>
      <c r="AD20" s="91"/>
      <c r="AE20" s="213"/>
      <c r="AF20" s="54"/>
      <c r="AH20" s="21">
        <f t="shared" si="2"/>
        <v>0</v>
      </c>
    </row>
    <row r="21" spans="1:34" s="289" customFormat="1" ht="15.75" thickBot="1">
      <c r="A21" s="8">
        <v>5599</v>
      </c>
      <c r="B21" s="8" t="s">
        <v>108</v>
      </c>
      <c r="C21" s="56">
        <f>SUM(C17:C20)</f>
        <v>0</v>
      </c>
      <c r="D21" s="71" t="e">
        <f>C21/C12</f>
        <v>#DIV/0!</v>
      </c>
      <c r="E21" s="56">
        <f>SUM(E17:E20)</f>
        <v>0</v>
      </c>
      <c r="F21" s="71" t="e">
        <f>E21/E12</f>
        <v>#DIV/0!</v>
      </c>
      <c r="G21" s="56">
        <f>SUM(G17:G20)</f>
        <v>0</v>
      </c>
      <c r="H21" s="71" t="e">
        <f>G21/G12</f>
        <v>#DIV/0!</v>
      </c>
      <c r="I21" s="56">
        <f>SUM(I17:I20)</f>
        <v>0</v>
      </c>
      <c r="J21" s="71" t="e">
        <f>I21/I12</f>
        <v>#DIV/0!</v>
      </c>
      <c r="K21" s="56">
        <f>SUM(K17:K20)</f>
        <v>0</v>
      </c>
      <c r="L21" s="71" t="e">
        <f>K21/K12</f>
        <v>#DIV/0!</v>
      </c>
      <c r="M21" s="56">
        <f>SUM(M17:M20)</f>
        <v>0</v>
      </c>
      <c r="N21" s="71" t="e">
        <f>M21/M12</f>
        <v>#DIV/0!</v>
      </c>
      <c r="O21" s="56">
        <f>SUM(O17:O20)</f>
        <v>0</v>
      </c>
      <c r="P21" s="71" t="e">
        <f>O21/O12</f>
        <v>#DIV/0!</v>
      </c>
      <c r="Q21" s="56">
        <f>SUM(Q17:Q20)</f>
        <v>0</v>
      </c>
      <c r="R21" s="71" t="e">
        <f>Q21/Q12</f>
        <v>#DIV/0!</v>
      </c>
      <c r="S21" s="56">
        <f>SUM(S17:S20)</f>
        <v>0</v>
      </c>
      <c r="T21" s="71" t="e">
        <f>S21/S12</f>
        <v>#DIV/0!</v>
      </c>
      <c r="U21" s="56">
        <f>SUM(U17:U20)</f>
        <v>0</v>
      </c>
      <c r="V21" s="71" t="e">
        <f>U21/U12</f>
        <v>#DIV/0!</v>
      </c>
      <c r="W21" s="56">
        <f>SUM(W17:W20)</f>
        <v>0</v>
      </c>
      <c r="X21" s="71" t="e">
        <f>W21/W12</f>
        <v>#DIV/0!</v>
      </c>
      <c r="Y21" s="56">
        <f>SUM(Y17:Y20)</f>
        <v>0</v>
      </c>
      <c r="Z21" s="71" t="e">
        <f>Y21/Y12</f>
        <v>#DIV/0!</v>
      </c>
      <c r="AA21" s="109">
        <f>SUM(AA17:AA20)</f>
        <v>0</v>
      </c>
      <c r="AB21" s="110" t="e">
        <f>AA21/AA12</f>
        <v>#DIV/0!</v>
      </c>
      <c r="AC21" s="93">
        <f t="shared" si="1"/>
        <v>0</v>
      </c>
      <c r="AD21" s="94" t="e">
        <f>AC21/AC12</f>
        <v>#DIV/0!</v>
      </c>
      <c r="AE21" s="218"/>
      <c r="AF21" s="219"/>
      <c r="AG21" s="209"/>
      <c r="AH21" s="21">
        <f t="shared" si="2"/>
        <v>0</v>
      </c>
    </row>
    <row r="22" spans="1:34" s="289" customFormat="1" ht="15.75" thickTop="1">
      <c r="A22" s="3">
        <v>5601</v>
      </c>
      <c r="B22" s="3" t="s">
        <v>53</v>
      </c>
      <c r="C22" s="46"/>
      <c r="D22" s="49" t="e">
        <f t="shared" ref="D22:D34" si="27">C22/C$12</f>
        <v>#DIV/0!</v>
      </c>
      <c r="E22" s="46"/>
      <c r="F22" s="49" t="e">
        <f t="shared" ref="F22:F35" si="28">E22/E$12</f>
        <v>#DIV/0!</v>
      </c>
      <c r="G22" s="46"/>
      <c r="H22" s="49" t="e">
        <f t="shared" ref="H22:H34" si="29">G22/G$12</f>
        <v>#DIV/0!</v>
      </c>
      <c r="I22" s="46"/>
      <c r="J22" s="49" t="e">
        <f t="shared" ref="J22:J34" si="30">I22/I$12</f>
        <v>#DIV/0!</v>
      </c>
      <c r="K22" s="46"/>
      <c r="L22" s="49" t="e">
        <f t="shared" ref="L22:L34" si="31">K22/K$12</f>
        <v>#DIV/0!</v>
      </c>
      <c r="M22" s="46"/>
      <c r="N22" s="49" t="e">
        <f t="shared" ref="N22:N34" si="32">M22/M$12</f>
        <v>#DIV/0!</v>
      </c>
      <c r="O22" s="46"/>
      <c r="P22" s="49" t="e">
        <f t="shared" ref="P22:P34" si="33">O22/O$12</f>
        <v>#DIV/0!</v>
      </c>
      <c r="Q22" s="46"/>
      <c r="R22" s="49" t="e">
        <f>Q22/Q$12</f>
        <v>#DIV/0!</v>
      </c>
      <c r="S22" s="46"/>
      <c r="T22" s="49" t="e">
        <f t="shared" ref="T22:T34" si="34">S22/S$12</f>
        <v>#DIV/0!</v>
      </c>
      <c r="U22" s="46"/>
      <c r="V22" s="49" t="e">
        <f t="shared" ref="V22:V34" si="35">U22/U$12</f>
        <v>#DIV/0!</v>
      </c>
      <c r="W22" s="46"/>
      <c r="X22" s="49" t="e">
        <f>W22/W$12</f>
        <v>#DIV/0!</v>
      </c>
      <c r="Y22" s="46"/>
      <c r="Z22" s="49" t="e">
        <f t="shared" ref="Z22:Z34" si="36">Y22/Y$12</f>
        <v>#DIV/0!</v>
      </c>
      <c r="AA22" s="105">
        <f t="shared" ref="AA22:AA34" si="37">C22+E22+G22+I22+K22+M22+O22+Q22+S22+U22+W22+Y22</f>
        <v>0</v>
      </c>
      <c r="AB22" s="108" t="e">
        <f t="shared" ref="AB22:AB34" si="38">AA22/AA$12</f>
        <v>#DIV/0!</v>
      </c>
      <c r="AC22" s="89">
        <f t="shared" si="1"/>
        <v>0</v>
      </c>
      <c r="AD22" s="92" t="e">
        <f t="shared" ref="AD22:AD34" si="39">AC22/AC$12</f>
        <v>#DIV/0!</v>
      </c>
      <c r="AE22" s="214"/>
      <c r="AF22" s="54"/>
      <c r="AH22" s="21">
        <f t="shared" si="2"/>
        <v>0</v>
      </c>
    </row>
    <row r="23" spans="1:34" s="289" customFormat="1">
      <c r="A23" s="3">
        <v>5602</v>
      </c>
      <c r="B23" s="3" t="s">
        <v>54</v>
      </c>
      <c r="C23" s="46"/>
      <c r="D23" s="49" t="e">
        <f t="shared" si="27"/>
        <v>#DIV/0!</v>
      </c>
      <c r="E23" s="46"/>
      <c r="F23" s="49" t="e">
        <f t="shared" si="28"/>
        <v>#DIV/0!</v>
      </c>
      <c r="G23" s="46"/>
      <c r="H23" s="49" t="e">
        <f t="shared" si="29"/>
        <v>#DIV/0!</v>
      </c>
      <c r="I23" s="46"/>
      <c r="J23" s="49" t="e">
        <f t="shared" si="30"/>
        <v>#DIV/0!</v>
      </c>
      <c r="K23" s="46"/>
      <c r="L23" s="49" t="e">
        <f t="shared" si="31"/>
        <v>#DIV/0!</v>
      </c>
      <c r="M23" s="46"/>
      <c r="N23" s="49" t="e">
        <f t="shared" si="32"/>
        <v>#DIV/0!</v>
      </c>
      <c r="O23" s="46"/>
      <c r="P23" s="49" t="e">
        <f t="shared" si="33"/>
        <v>#DIV/0!</v>
      </c>
      <c r="Q23" s="46"/>
      <c r="R23" s="49" t="e">
        <f>Q23/Q$12</f>
        <v>#DIV/0!</v>
      </c>
      <c r="S23" s="46"/>
      <c r="T23" s="49" t="e">
        <f t="shared" si="34"/>
        <v>#DIV/0!</v>
      </c>
      <c r="U23" s="46"/>
      <c r="V23" s="49" t="e">
        <f t="shared" si="35"/>
        <v>#DIV/0!</v>
      </c>
      <c r="W23" s="46"/>
      <c r="X23" s="49" t="e">
        <f>W23/W$12</f>
        <v>#DIV/0!</v>
      </c>
      <c r="Y23" s="46"/>
      <c r="Z23" s="49" t="e">
        <f t="shared" si="36"/>
        <v>#DIV/0!</v>
      </c>
      <c r="AA23" s="105">
        <f t="shared" si="37"/>
        <v>0</v>
      </c>
      <c r="AB23" s="108" t="e">
        <f t="shared" si="38"/>
        <v>#DIV/0!</v>
      </c>
      <c r="AC23" s="89">
        <f t="shared" si="1"/>
        <v>0</v>
      </c>
      <c r="AD23" s="92" t="e">
        <f t="shared" si="39"/>
        <v>#DIV/0!</v>
      </c>
      <c r="AE23" s="214"/>
      <c r="AF23" s="54"/>
      <c r="AH23" s="21">
        <f t="shared" si="2"/>
        <v>0</v>
      </c>
    </row>
    <row r="24" spans="1:34" s="289" customFormat="1">
      <c r="A24" s="3">
        <v>5603</v>
      </c>
      <c r="B24" s="3" t="s">
        <v>55</v>
      </c>
      <c r="C24" s="46"/>
      <c r="D24" s="49" t="e">
        <f t="shared" si="27"/>
        <v>#DIV/0!</v>
      </c>
      <c r="E24" s="46"/>
      <c r="F24" s="49" t="e">
        <f t="shared" si="28"/>
        <v>#DIV/0!</v>
      </c>
      <c r="G24" s="46"/>
      <c r="H24" s="49" t="e">
        <f t="shared" si="29"/>
        <v>#DIV/0!</v>
      </c>
      <c r="I24" s="46"/>
      <c r="J24" s="49" t="e">
        <f t="shared" si="30"/>
        <v>#DIV/0!</v>
      </c>
      <c r="K24" s="46"/>
      <c r="L24" s="49" t="e">
        <f t="shared" si="31"/>
        <v>#DIV/0!</v>
      </c>
      <c r="M24" s="46"/>
      <c r="N24" s="49" t="e">
        <f t="shared" si="32"/>
        <v>#DIV/0!</v>
      </c>
      <c r="O24" s="46"/>
      <c r="P24" s="49" t="e">
        <f t="shared" si="33"/>
        <v>#DIV/0!</v>
      </c>
      <c r="Q24" s="46"/>
      <c r="R24" s="49" t="e">
        <f>Q24/Q$12</f>
        <v>#DIV/0!</v>
      </c>
      <c r="S24" s="46"/>
      <c r="T24" s="49" t="e">
        <f t="shared" si="34"/>
        <v>#DIV/0!</v>
      </c>
      <c r="U24" s="46"/>
      <c r="V24" s="49" t="e">
        <f t="shared" si="35"/>
        <v>#DIV/0!</v>
      </c>
      <c r="W24" s="46"/>
      <c r="X24" s="49" t="e">
        <f>W24/W$12</f>
        <v>#DIV/0!</v>
      </c>
      <c r="Y24" s="46"/>
      <c r="Z24" s="49" t="e">
        <f t="shared" si="36"/>
        <v>#DIV/0!</v>
      </c>
      <c r="AA24" s="105">
        <f t="shared" si="37"/>
        <v>0</v>
      </c>
      <c r="AB24" s="108" t="e">
        <f t="shared" si="38"/>
        <v>#DIV/0!</v>
      </c>
      <c r="AC24" s="89">
        <f t="shared" si="1"/>
        <v>0</v>
      </c>
      <c r="AD24" s="92" t="e">
        <f t="shared" si="39"/>
        <v>#DIV/0!</v>
      </c>
      <c r="AE24" s="214"/>
      <c r="AF24" s="54"/>
      <c r="AH24" s="21">
        <f t="shared" si="2"/>
        <v>0</v>
      </c>
    </row>
    <row r="25" spans="1:34" s="289" customFormat="1">
      <c r="A25" s="3">
        <v>5604</v>
      </c>
      <c r="B25" s="3" t="s">
        <v>56</v>
      </c>
      <c r="C25" s="46"/>
      <c r="D25" s="49" t="e">
        <f t="shared" si="27"/>
        <v>#DIV/0!</v>
      </c>
      <c r="E25" s="46"/>
      <c r="F25" s="49" t="e">
        <f t="shared" si="28"/>
        <v>#DIV/0!</v>
      </c>
      <c r="G25" s="46"/>
      <c r="H25" s="49" t="e">
        <f t="shared" si="29"/>
        <v>#DIV/0!</v>
      </c>
      <c r="I25" s="46"/>
      <c r="J25" s="49" t="e">
        <f t="shared" si="30"/>
        <v>#DIV/0!</v>
      </c>
      <c r="K25" s="46"/>
      <c r="L25" s="49" t="e">
        <f t="shared" si="31"/>
        <v>#DIV/0!</v>
      </c>
      <c r="M25" s="46"/>
      <c r="N25" s="49" t="e">
        <f t="shared" si="32"/>
        <v>#DIV/0!</v>
      </c>
      <c r="O25" s="46"/>
      <c r="P25" s="49" t="e">
        <f t="shared" si="33"/>
        <v>#DIV/0!</v>
      </c>
      <c r="Q25" s="46"/>
      <c r="R25" s="49" t="e">
        <f>Q25/Q$12</f>
        <v>#DIV/0!</v>
      </c>
      <c r="S25" s="46"/>
      <c r="T25" s="49" t="e">
        <f t="shared" si="34"/>
        <v>#DIV/0!</v>
      </c>
      <c r="U25" s="46"/>
      <c r="V25" s="49" t="e">
        <f t="shared" si="35"/>
        <v>#DIV/0!</v>
      </c>
      <c r="W25" s="46"/>
      <c r="X25" s="49" t="e">
        <f>W25/W$12</f>
        <v>#DIV/0!</v>
      </c>
      <c r="Y25" s="46"/>
      <c r="Z25" s="49" t="e">
        <f t="shared" si="36"/>
        <v>#DIV/0!</v>
      </c>
      <c r="AA25" s="105">
        <f t="shared" si="37"/>
        <v>0</v>
      </c>
      <c r="AB25" s="108" t="e">
        <f t="shared" si="38"/>
        <v>#DIV/0!</v>
      </c>
      <c r="AC25" s="89">
        <f t="shared" si="1"/>
        <v>0</v>
      </c>
      <c r="AD25" s="92" t="e">
        <f t="shared" si="39"/>
        <v>#DIV/0!</v>
      </c>
      <c r="AE25" s="214" t="s">
        <v>177</v>
      </c>
      <c r="AF25" s="54">
        <v>75</v>
      </c>
      <c r="AG25" s="289" t="s">
        <v>176</v>
      </c>
      <c r="AH25" s="21">
        <f t="shared" si="2"/>
        <v>0</v>
      </c>
    </row>
    <row r="26" spans="1:34" s="289" customFormat="1">
      <c r="A26" s="3">
        <v>5605</v>
      </c>
      <c r="B26" s="3" t="s">
        <v>14</v>
      </c>
      <c r="C26" s="46"/>
      <c r="D26" s="49" t="e">
        <f t="shared" si="27"/>
        <v>#DIV/0!</v>
      </c>
      <c r="E26" s="46"/>
      <c r="F26" s="49" t="e">
        <f t="shared" si="28"/>
        <v>#DIV/0!</v>
      </c>
      <c r="G26" s="46"/>
      <c r="H26" s="49" t="e">
        <f t="shared" si="29"/>
        <v>#DIV/0!</v>
      </c>
      <c r="I26" s="46"/>
      <c r="J26" s="49" t="e">
        <f t="shared" si="30"/>
        <v>#DIV/0!</v>
      </c>
      <c r="K26" s="46"/>
      <c r="L26" s="49" t="e">
        <f t="shared" si="31"/>
        <v>#DIV/0!</v>
      </c>
      <c r="M26" s="46"/>
      <c r="N26" s="49" t="e">
        <f t="shared" si="32"/>
        <v>#DIV/0!</v>
      </c>
      <c r="O26" s="46"/>
      <c r="P26" s="49" t="e">
        <f t="shared" si="33"/>
        <v>#DIV/0!</v>
      </c>
      <c r="Q26" s="46"/>
      <c r="R26" s="49" t="e">
        <f>Q26/Q$12</f>
        <v>#DIV/0!</v>
      </c>
      <c r="S26" s="46"/>
      <c r="T26" s="49" t="e">
        <f t="shared" si="34"/>
        <v>#DIV/0!</v>
      </c>
      <c r="U26" s="46"/>
      <c r="V26" s="49" t="e">
        <f t="shared" si="35"/>
        <v>#DIV/0!</v>
      </c>
      <c r="W26" s="46"/>
      <c r="X26" s="49" t="e">
        <f>W26/W$12</f>
        <v>#DIV/0!</v>
      </c>
      <c r="Y26" s="46"/>
      <c r="Z26" s="49" t="e">
        <f t="shared" si="36"/>
        <v>#DIV/0!</v>
      </c>
      <c r="AA26" s="105">
        <f t="shared" si="37"/>
        <v>0</v>
      </c>
      <c r="AB26" s="108" t="e">
        <f t="shared" si="38"/>
        <v>#DIV/0!</v>
      </c>
      <c r="AC26" s="89">
        <f t="shared" si="1"/>
        <v>0</v>
      </c>
      <c r="AD26" s="92" t="e">
        <f t="shared" si="39"/>
        <v>#DIV/0!</v>
      </c>
      <c r="AE26" s="214"/>
      <c r="AF26" s="54"/>
      <c r="AH26" s="21">
        <f t="shared" si="2"/>
        <v>0</v>
      </c>
    </row>
    <row r="27" spans="1:34" s="289" customFormat="1">
      <c r="A27" s="3">
        <v>5606</v>
      </c>
      <c r="B27" s="3" t="s">
        <v>77</v>
      </c>
      <c r="C27" s="46"/>
      <c r="D27" s="49" t="e">
        <f t="shared" si="27"/>
        <v>#DIV/0!</v>
      </c>
      <c r="E27" s="46"/>
      <c r="F27" s="49" t="e">
        <f t="shared" si="28"/>
        <v>#DIV/0!</v>
      </c>
      <c r="G27" s="46"/>
      <c r="H27" s="49" t="e">
        <f t="shared" si="29"/>
        <v>#DIV/0!</v>
      </c>
      <c r="I27" s="46"/>
      <c r="J27" s="49" t="e">
        <f t="shared" si="30"/>
        <v>#DIV/0!</v>
      </c>
      <c r="K27" s="46"/>
      <c r="L27" s="49" t="e">
        <f t="shared" si="31"/>
        <v>#DIV/0!</v>
      </c>
      <c r="M27" s="46"/>
      <c r="N27" s="49" t="e">
        <f t="shared" si="32"/>
        <v>#DIV/0!</v>
      </c>
      <c r="O27" s="46"/>
      <c r="P27" s="49" t="e">
        <f t="shared" si="33"/>
        <v>#DIV/0!</v>
      </c>
      <c r="Q27" s="46"/>
      <c r="R27" s="49" t="e">
        <f>Q27/Q12</f>
        <v>#DIV/0!</v>
      </c>
      <c r="S27" s="46"/>
      <c r="T27" s="49" t="e">
        <f t="shared" si="34"/>
        <v>#DIV/0!</v>
      </c>
      <c r="U27" s="46"/>
      <c r="V27" s="49" t="e">
        <f t="shared" si="35"/>
        <v>#DIV/0!</v>
      </c>
      <c r="W27" s="46"/>
      <c r="X27" s="49" t="e">
        <f>W27/W12</f>
        <v>#DIV/0!</v>
      </c>
      <c r="Y27" s="46"/>
      <c r="Z27" s="49" t="e">
        <f t="shared" si="36"/>
        <v>#DIV/0!</v>
      </c>
      <c r="AA27" s="105">
        <f t="shared" si="37"/>
        <v>0</v>
      </c>
      <c r="AB27" s="108" t="e">
        <f t="shared" si="38"/>
        <v>#DIV/0!</v>
      </c>
      <c r="AC27" s="89">
        <f t="shared" si="1"/>
        <v>0</v>
      </c>
      <c r="AD27" s="92" t="e">
        <f t="shared" si="39"/>
        <v>#DIV/0!</v>
      </c>
      <c r="AE27" s="214" t="s">
        <v>177</v>
      </c>
      <c r="AF27" s="54"/>
      <c r="AG27" s="289" t="s">
        <v>178</v>
      </c>
      <c r="AH27" s="21">
        <f t="shared" si="2"/>
        <v>0</v>
      </c>
    </row>
    <row r="28" spans="1:34" s="289" customFormat="1">
      <c r="A28" s="3">
        <v>5607</v>
      </c>
      <c r="B28" s="3" t="s">
        <v>57</v>
      </c>
      <c r="C28" s="46"/>
      <c r="D28" s="49" t="e">
        <f t="shared" si="27"/>
        <v>#DIV/0!</v>
      </c>
      <c r="E28" s="46"/>
      <c r="F28" s="49" t="e">
        <f t="shared" si="28"/>
        <v>#DIV/0!</v>
      </c>
      <c r="G28" s="46"/>
      <c r="H28" s="49" t="e">
        <f t="shared" si="29"/>
        <v>#DIV/0!</v>
      </c>
      <c r="I28" s="46"/>
      <c r="J28" s="49" t="e">
        <f t="shared" si="30"/>
        <v>#DIV/0!</v>
      </c>
      <c r="K28" s="46"/>
      <c r="L28" s="49" t="e">
        <f t="shared" si="31"/>
        <v>#DIV/0!</v>
      </c>
      <c r="M28" s="46"/>
      <c r="N28" s="49" t="e">
        <f t="shared" si="32"/>
        <v>#DIV/0!</v>
      </c>
      <c r="O28" s="46"/>
      <c r="P28" s="49" t="e">
        <f t="shared" si="33"/>
        <v>#DIV/0!</v>
      </c>
      <c r="Q28" s="46"/>
      <c r="R28" s="49" t="e">
        <f t="shared" ref="R28:R34" si="40">Q28/Q$12</f>
        <v>#DIV/0!</v>
      </c>
      <c r="S28" s="46"/>
      <c r="T28" s="49" t="e">
        <f t="shared" si="34"/>
        <v>#DIV/0!</v>
      </c>
      <c r="U28" s="46"/>
      <c r="V28" s="49" t="e">
        <f t="shared" si="35"/>
        <v>#DIV/0!</v>
      </c>
      <c r="W28" s="46"/>
      <c r="X28" s="49" t="e">
        <f t="shared" ref="X28:X34" si="41">W28/W$12</f>
        <v>#DIV/0!</v>
      </c>
      <c r="Y28" s="46"/>
      <c r="Z28" s="49" t="e">
        <f t="shared" si="36"/>
        <v>#DIV/0!</v>
      </c>
      <c r="AA28" s="105">
        <f t="shared" si="37"/>
        <v>0</v>
      </c>
      <c r="AB28" s="108" t="e">
        <f t="shared" si="38"/>
        <v>#DIV/0!</v>
      </c>
      <c r="AC28" s="89">
        <f t="shared" si="1"/>
        <v>0</v>
      </c>
      <c r="AD28" s="92" t="e">
        <f t="shared" si="39"/>
        <v>#DIV/0!</v>
      </c>
      <c r="AE28" s="214"/>
      <c r="AF28" s="54"/>
      <c r="AH28" s="21">
        <f t="shared" si="2"/>
        <v>0</v>
      </c>
    </row>
    <row r="29" spans="1:34" s="289" customFormat="1">
      <c r="A29" s="3">
        <v>5608</v>
      </c>
      <c r="B29" s="3" t="s">
        <v>58</v>
      </c>
      <c r="C29" s="46"/>
      <c r="D29" s="49" t="e">
        <f t="shared" si="27"/>
        <v>#DIV/0!</v>
      </c>
      <c r="E29" s="46"/>
      <c r="F29" s="49" t="e">
        <f t="shared" si="28"/>
        <v>#DIV/0!</v>
      </c>
      <c r="G29" s="46"/>
      <c r="H29" s="49" t="e">
        <f t="shared" si="29"/>
        <v>#DIV/0!</v>
      </c>
      <c r="I29" s="46"/>
      <c r="J29" s="49" t="e">
        <f t="shared" si="30"/>
        <v>#DIV/0!</v>
      </c>
      <c r="K29" s="46"/>
      <c r="L29" s="49" t="e">
        <f t="shared" si="31"/>
        <v>#DIV/0!</v>
      </c>
      <c r="M29" s="46"/>
      <c r="N29" s="49" t="e">
        <f t="shared" si="32"/>
        <v>#DIV/0!</v>
      </c>
      <c r="O29" s="46"/>
      <c r="P29" s="49" t="e">
        <f t="shared" si="33"/>
        <v>#DIV/0!</v>
      </c>
      <c r="Q29" s="46"/>
      <c r="R29" s="49" t="e">
        <f t="shared" si="40"/>
        <v>#DIV/0!</v>
      </c>
      <c r="S29" s="46"/>
      <c r="T29" s="49" t="e">
        <f t="shared" si="34"/>
        <v>#DIV/0!</v>
      </c>
      <c r="U29" s="46"/>
      <c r="V29" s="49" t="e">
        <f t="shared" si="35"/>
        <v>#DIV/0!</v>
      </c>
      <c r="W29" s="46"/>
      <c r="X29" s="49" t="e">
        <f t="shared" si="41"/>
        <v>#DIV/0!</v>
      </c>
      <c r="Y29" s="46"/>
      <c r="Z29" s="49" t="e">
        <f t="shared" si="36"/>
        <v>#DIV/0!</v>
      </c>
      <c r="AA29" s="105">
        <f t="shared" si="37"/>
        <v>0</v>
      </c>
      <c r="AB29" s="108" t="e">
        <f t="shared" si="38"/>
        <v>#DIV/0!</v>
      </c>
      <c r="AC29" s="89">
        <f t="shared" si="1"/>
        <v>0</v>
      </c>
      <c r="AD29" s="92" t="e">
        <f t="shared" si="39"/>
        <v>#DIV/0!</v>
      </c>
      <c r="AE29" s="214"/>
      <c r="AF29" s="54"/>
      <c r="AH29" s="21">
        <f t="shared" si="2"/>
        <v>0</v>
      </c>
    </row>
    <row r="30" spans="1:34" s="289" customFormat="1">
      <c r="A30" s="3">
        <v>5609</v>
      </c>
      <c r="B30" s="3" t="s">
        <v>59</v>
      </c>
      <c r="C30" s="46"/>
      <c r="D30" s="49" t="e">
        <f t="shared" si="27"/>
        <v>#DIV/0!</v>
      </c>
      <c r="E30" s="46"/>
      <c r="F30" s="49" t="e">
        <f t="shared" si="28"/>
        <v>#DIV/0!</v>
      </c>
      <c r="G30" s="46"/>
      <c r="H30" s="49" t="e">
        <f t="shared" si="29"/>
        <v>#DIV/0!</v>
      </c>
      <c r="I30" s="46"/>
      <c r="J30" s="49" t="e">
        <f t="shared" si="30"/>
        <v>#DIV/0!</v>
      </c>
      <c r="K30" s="46"/>
      <c r="L30" s="49" t="e">
        <f t="shared" si="31"/>
        <v>#DIV/0!</v>
      </c>
      <c r="M30" s="46"/>
      <c r="N30" s="49" t="e">
        <f t="shared" si="32"/>
        <v>#DIV/0!</v>
      </c>
      <c r="O30" s="46"/>
      <c r="P30" s="49" t="e">
        <f t="shared" si="33"/>
        <v>#DIV/0!</v>
      </c>
      <c r="Q30" s="46"/>
      <c r="R30" s="49" t="e">
        <f t="shared" si="40"/>
        <v>#DIV/0!</v>
      </c>
      <c r="S30" s="46"/>
      <c r="T30" s="49" t="e">
        <f t="shared" si="34"/>
        <v>#DIV/0!</v>
      </c>
      <c r="U30" s="46"/>
      <c r="V30" s="49" t="e">
        <f t="shared" si="35"/>
        <v>#DIV/0!</v>
      </c>
      <c r="W30" s="46"/>
      <c r="X30" s="49" t="e">
        <f t="shared" si="41"/>
        <v>#DIV/0!</v>
      </c>
      <c r="Y30" s="46"/>
      <c r="Z30" s="49" t="e">
        <f t="shared" si="36"/>
        <v>#DIV/0!</v>
      </c>
      <c r="AA30" s="105">
        <f t="shared" si="37"/>
        <v>0</v>
      </c>
      <c r="AB30" s="108" t="e">
        <f t="shared" si="38"/>
        <v>#DIV/0!</v>
      </c>
      <c r="AC30" s="89">
        <f t="shared" si="1"/>
        <v>0</v>
      </c>
      <c r="AD30" s="92" t="e">
        <f t="shared" si="39"/>
        <v>#DIV/0!</v>
      </c>
      <c r="AE30" s="214"/>
      <c r="AF30" s="54"/>
      <c r="AH30" s="21">
        <f t="shared" si="2"/>
        <v>0</v>
      </c>
    </row>
    <row r="31" spans="1:34" s="289" customFormat="1">
      <c r="A31" s="3">
        <v>5610</v>
      </c>
      <c r="B31" s="3" t="s">
        <v>60</v>
      </c>
      <c r="C31" s="46"/>
      <c r="D31" s="49" t="e">
        <f t="shared" si="27"/>
        <v>#DIV/0!</v>
      </c>
      <c r="E31" s="46"/>
      <c r="F31" s="49" t="e">
        <f t="shared" si="28"/>
        <v>#DIV/0!</v>
      </c>
      <c r="G31" s="46"/>
      <c r="H31" s="49" t="e">
        <f t="shared" si="29"/>
        <v>#DIV/0!</v>
      </c>
      <c r="I31" s="46"/>
      <c r="J31" s="49" t="e">
        <f t="shared" si="30"/>
        <v>#DIV/0!</v>
      </c>
      <c r="K31" s="46"/>
      <c r="L31" s="49" t="e">
        <f t="shared" si="31"/>
        <v>#DIV/0!</v>
      </c>
      <c r="M31" s="46"/>
      <c r="N31" s="49" t="e">
        <f t="shared" si="32"/>
        <v>#DIV/0!</v>
      </c>
      <c r="O31" s="46"/>
      <c r="P31" s="49" t="e">
        <f t="shared" si="33"/>
        <v>#DIV/0!</v>
      </c>
      <c r="Q31" s="46"/>
      <c r="R31" s="49" t="e">
        <f t="shared" si="40"/>
        <v>#DIV/0!</v>
      </c>
      <c r="S31" s="46"/>
      <c r="T31" s="49" t="e">
        <f t="shared" si="34"/>
        <v>#DIV/0!</v>
      </c>
      <c r="U31" s="46"/>
      <c r="V31" s="49" t="e">
        <f t="shared" si="35"/>
        <v>#DIV/0!</v>
      </c>
      <c r="W31" s="46"/>
      <c r="X31" s="49" t="e">
        <f t="shared" si="41"/>
        <v>#DIV/0!</v>
      </c>
      <c r="Y31" s="46"/>
      <c r="Z31" s="49" t="e">
        <f t="shared" si="36"/>
        <v>#DIV/0!</v>
      </c>
      <c r="AA31" s="105">
        <f t="shared" si="37"/>
        <v>0</v>
      </c>
      <c r="AB31" s="108" t="e">
        <f t="shared" si="38"/>
        <v>#DIV/0!</v>
      </c>
      <c r="AC31" s="89">
        <f t="shared" si="1"/>
        <v>0</v>
      </c>
      <c r="AD31" s="92" t="e">
        <f t="shared" si="39"/>
        <v>#DIV/0!</v>
      </c>
      <c r="AE31" s="214"/>
      <c r="AF31" s="54"/>
      <c r="AH31" s="21">
        <f t="shared" si="2"/>
        <v>0</v>
      </c>
    </row>
    <row r="32" spans="1:34" s="289" customFormat="1">
      <c r="A32" s="3">
        <v>5611</v>
      </c>
      <c r="B32" s="3" t="s">
        <v>109</v>
      </c>
      <c r="C32" s="46"/>
      <c r="D32" s="49" t="e">
        <f t="shared" si="27"/>
        <v>#DIV/0!</v>
      </c>
      <c r="E32" s="46"/>
      <c r="F32" s="49" t="e">
        <f t="shared" si="28"/>
        <v>#DIV/0!</v>
      </c>
      <c r="G32" s="46"/>
      <c r="H32" s="49" t="e">
        <f t="shared" si="29"/>
        <v>#DIV/0!</v>
      </c>
      <c r="I32" s="46"/>
      <c r="J32" s="49" t="e">
        <f t="shared" si="30"/>
        <v>#DIV/0!</v>
      </c>
      <c r="K32" s="46"/>
      <c r="L32" s="49" t="e">
        <f t="shared" si="31"/>
        <v>#DIV/0!</v>
      </c>
      <c r="M32" s="46"/>
      <c r="N32" s="49" t="e">
        <f t="shared" si="32"/>
        <v>#DIV/0!</v>
      </c>
      <c r="O32" s="46"/>
      <c r="P32" s="49" t="e">
        <f t="shared" si="33"/>
        <v>#DIV/0!</v>
      </c>
      <c r="Q32" s="46"/>
      <c r="R32" s="49" t="e">
        <f t="shared" si="40"/>
        <v>#DIV/0!</v>
      </c>
      <c r="S32" s="46"/>
      <c r="T32" s="49" t="e">
        <f t="shared" si="34"/>
        <v>#DIV/0!</v>
      </c>
      <c r="U32" s="46"/>
      <c r="V32" s="49" t="e">
        <f t="shared" si="35"/>
        <v>#DIV/0!</v>
      </c>
      <c r="W32" s="46"/>
      <c r="X32" s="49" t="e">
        <f t="shared" si="41"/>
        <v>#DIV/0!</v>
      </c>
      <c r="Y32" s="46"/>
      <c r="Z32" s="49" t="e">
        <f t="shared" si="36"/>
        <v>#DIV/0!</v>
      </c>
      <c r="AA32" s="105">
        <f t="shared" si="37"/>
        <v>0</v>
      </c>
      <c r="AB32" s="108" t="e">
        <f t="shared" si="38"/>
        <v>#DIV/0!</v>
      </c>
      <c r="AC32" s="89">
        <f t="shared" si="1"/>
        <v>0</v>
      </c>
      <c r="AD32" s="92" t="e">
        <f t="shared" si="39"/>
        <v>#DIV/0!</v>
      </c>
      <c r="AE32" s="214"/>
      <c r="AF32" s="54"/>
      <c r="AH32" s="21">
        <f t="shared" si="2"/>
        <v>0</v>
      </c>
    </row>
    <row r="33" spans="1:34" s="289" customFormat="1">
      <c r="A33" s="3">
        <v>5612</v>
      </c>
      <c r="B33" s="3" t="s">
        <v>61</v>
      </c>
      <c r="C33" s="46"/>
      <c r="D33" s="49" t="e">
        <f t="shared" si="27"/>
        <v>#DIV/0!</v>
      </c>
      <c r="E33" s="46"/>
      <c r="F33" s="49" t="e">
        <f t="shared" si="28"/>
        <v>#DIV/0!</v>
      </c>
      <c r="G33" s="46"/>
      <c r="H33" s="49" t="e">
        <f t="shared" si="29"/>
        <v>#DIV/0!</v>
      </c>
      <c r="I33" s="46"/>
      <c r="J33" s="49" t="e">
        <f t="shared" si="30"/>
        <v>#DIV/0!</v>
      </c>
      <c r="K33" s="46"/>
      <c r="L33" s="49" t="e">
        <f t="shared" si="31"/>
        <v>#DIV/0!</v>
      </c>
      <c r="M33" s="46"/>
      <c r="N33" s="49" t="e">
        <f t="shared" si="32"/>
        <v>#DIV/0!</v>
      </c>
      <c r="O33" s="46"/>
      <c r="P33" s="49" t="e">
        <f t="shared" si="33"/>
        <v>#DIV/0!</v>
      </c>
      <c r="Q33" s="46"/>
      <c r="R33" s="49" t="e">
        <f t="shared" si="40"/>
        <v>#DIV/0!</v>
      </c>
      <c r="S33" s="46"/>
      <c r="T33" s="49" t="e">
        <f t="shared" si="34"/>
        <v>#DIV/0!</v>
      </c>
      <c r="U33" s="46"/>
      <c r="V33" s="49" t="e">
        <f t="shared" si="35"/>
        <v>#DIV/0!</v>
      </c>
      <c r="W33" s="46"/>
      <c r="X33" s="49" t="e">
        <f t="shared" si="41"/>
        <v>#DIV/0!</v>
      </c>
      <c r="Y33" s="46"/>
      <c r="Z33" s="49" t="e">
        <f t="shared" si="36"/>
        <v>#DIV/0!</v>
      </c>
      <c r="AA33" s="105">
        <f t="shared" si="37"/>
        <v>0</v>
      </c>
      <c r="AB33" s="108" t="e">
        <f t="shared" si="38"/>
        <v>#DIV/0!</v>
      </c>
      <c r="AC33" s="89">
        <f t="shared" si="1"/>
        <v>0</v>
      </c>
      <c r="AD33" s="92" t="e">
        <f t="shared" si="39"/>
        <v>#DIV/0!</v>
      </c>
      <c r="AE33" s="214"/>
      <c r="AF33" s="54"/>
      <c r="AH33" s="21">
        <f t="shared" si="2"/>
        <v>0</v>
      </c>
    </row>
    <row r="34" spans="1:34" s="289" customFormat="1">
      <c r="A34" s="3">
        <v>5613</v>
      </c>
      <c r="B34" s="3" t="s">
        <v>62</v>
      </c>
      <c r="C34" s="46"/>
      <c r="D34" s="49" t="e">
        <f t="shared" si="27"/>
        <v>#DIV/0!</v>
      </c>
      <c r="E34" s="46"/>
      <c r="F34" s="49" t="e">
        <f t="shared" si="28"/>
        <v>#DIV/0!</v>
      </c>
      <c r="G34" s="46"/>
      <c r="H34" s="49" t="e">
        <f t="shared" si="29"/>
        <v>#DIV/0!</v>
      </c>
      <c r="I34" s="46"/>
      <c r="J34" s="49" t="e">
        <f t="shared" si="30"/>
        <v>#DIV/0!</v>
      </c>
      <c r="K34" s="46"/>
      <c r="L34" s="49" t="e">
        <f t="shared" si="31"/>
        <v>#DIV/0!</v>
      </c>
      <c r="M34" s="46"/>
      <c r="N34" s="49" t="e">
        <f t="shared" si="32"/>
        <v>#DIV/0!</v>
      </c>
      <c r="O34" s="46"/>
      <c r="P34" s="49" t="e">
        <f t="shared" si="33"/>
        <v>#DIV/0!</v>
      </c>
      <c r="Q34" s="46"/>
      <c r="R34" s="49" t="e">
        <f t="shared" si="40"/>
        <v>#DIV/0!</v>
      </c>
      <c r="S34" s="46"/>
      <c r="T34" s="49" t="e">
        <f t="shared" si="34"/>
        <v>#DIV/0!</v>
      </c>
      <c r="U34" s="46"/>
      <c r="V34" s="49" t="e">
        <f t="shared" si="35"/>
        <v>#DIV/0!</v>
      </c>
      <c r="W34" s="46"/>
      <c r="X34" s="49" t="e">
        <f t="shared" si="41"/>
        <v>#DIV/0!</v>
      </c>
      <c r="Y34" s="46"/>
      <c r="Z34" s="49" t="e">
        <f t="shared" si="36"/>
        <v>#DIV/0!</v>
      </c>
      <c r="AA34" s="105">
        <f t="shared" si="37"/>
        <v>0</v>
      </c>
      <c r="AB34" s="108" t="e">
        <f t="shared" si="38"/>
        <v>#DIV/0!</v>
      </c>
      <c r="AC34" s="89">
        <f t="shared" si="1"/>
        <v>0</v>
      </c>
      <c r="AD34" s="92" t="e">
        <f t="shared" si="39"/>
        <v>#DIV/0!</v>
      </c>
      <c r="AE34" s="214"/>
      <c r="AF34" s="54"/>
      <c r="AH34" s="21">
        <f t="shared" si="2"/>
        <v>0</v>
      </c>
    </row>
    <row r="35" spans="1:34" s="289" customFormat="1">
      <c r="A35" s="9">
        <v>5699</v>
      </c>
      <c r="B35" s="9" t="s">
        <v>110</v>
      </c>
      <c r="C35" s="59">
        <f>SUM(C22:C34)</f>
        <v>0</v>
      </c>
      <c r="D35" s="69" t="e">
        <f>C35/C12</f>
        <v>#DIV/0!</v>
      </c>
      <c r="E35" s="59">
        <f>SUM(E22:E34)</f>
        <v>0</v>
      </c>
      <c r="F35" s="69" t="e">
        <f t="shared" si="28"/>
        <v>#DIV/0!</v>
      </c>
      <c r="G35" s="59">
        <f>SUM(G22:G34)</f>
        <v>0</v>
      </c>
      <c r="H35" s="69" t="e">
        <f>G35/G12</f>
        <v>#DIV/0!</v>
      </c>
      <c r="I35" s="59">
        <f>SUM(I22:I34)</f>
        <v>0</v>
      </c>
      <c r="J35" s="69" t="e">
        <f>I35/I12</f>
        <v>#DIV/0!</v>
      </c>
      <c r="K35" s="59">
        <f>SUM(K22:K34)</f>
        <v>0</v>
      </c>
      <c r="L35" s="69" t="e">
        <f>K35/K12</f>
        <v>#DIV/0!</v>
      </c>
      <c r="M35" s="59">
        <f>SUM(M22:M34)</f>
        <v>0</v>
      </c>
      <c r="N35" s="69" t="e">
        <f>M35/M12</f>
        <v>#DIV/0!</v>
      </c>
      <c r="O35" s="59">
        <f>SUM(O22:O34)</f>
        <v>0</v>
      </c>
      <c r="P35" s="69" t="e">
        <f>O35/O12</f>
        <v>#DIV/0!</v>
      </c>
      <c r="Q35" s="59">
        <f>SUM(Q22:Q34)</f>
        <v>0</v>
      </c>
      <c r="R35" s="69" t="e">
        <f>Q35/Q12</f>
        <v>#DIV/0!</v>
      </c>
      <c r="S35" s="59">
        <f>SUM(S22:S34)</f>
        <v>0</v>
      </c>
      <c r="T35" s="69" t="e">
        <f>S35/S12</f>
        <v>#DIV/0!</v>
      </c>
      <c r="U35" s="59">
        <f>SUM(U22:U34)</f>
        <v>0</v>
      </c>
      <c r="V35" s="69" t="e">
        <f>U35/U12</f>
        <v>#DIV/0!</v>
      </c>
      <c r="W35" s="59">
        <f>SUM(W22:W34)</f>
        <v>0</v>
      </c>
      <c r="X35" s="69" t="e">
        <f>W35/W12</f>
        <v>#DIV/0!</v>
      </c>
      <c r="Y35" s="59">
        <f>SUM(Y22:Y34)</f>
        <v>0</v>
      </c>
      <c r="Z35" s="69" t="e">
        <f>Y35/Y12</f>
        <v>#DIV/0!</v>
      </c>
      <c r="AA35" s="114">
        <f>SUM(AA22:AA34)</f>
        <v>0</v>
      </c>
      <c r="AB35" s="115" t="e">
        <f>AA35/AA12</f>
        <v>#DIV/0!</v>
      </c>
      <c r="AC35" s="98">
        <f t="shared" si="1"/>
        <v>0</v>
      </c>
      <c r="AD35" s="99" t="e">
        <f>AC35/AC12</f>
        <v>#DIV/0!</v>
      </c>
      <c r="AE35" s="215"/>
      <c r="AF35" s="54"/>
      <c r="AH35" s="21">
        <f t="shared" si="2"/>
        <v>0</v>
      </c>
    </row>
    <row r="36" spans="1:34" s="289" customFormat="1">
      <c r="A36" s="9">
        <v>5999</v>
      </c>
      <c r="B36" s="9" t="s">
        <v>111</v>
      </c>
      <c r="C36" s="59">
        <f>C21+C35</f>
        <v>0</v>
      </c>
      <c r="D36" s="69" t="e">
        <f>C36/C12</f>
        <v>#DIV/0!</v>
      </c>
      <c r="E36" s="59">
        <f>E21+E35</f>
        <v>0</v>
      </c>
      <c r="F36" s="69" t="e">
        <f>E36/E12</f>
        <v>#DIV/0!</v>
      </c>
      <c r="G36" s="59">
        <f>G21+G35</f>
        <v>0</v>
      </c>
      <c r="H36" s="69" t="e">
        <f>G36/G12</f>
        <v>#DIV/0!</v>
      </c>
      <c r="I36" s="59">
        <f>I21+I35</f>
        <v>0</v>
      </c>
      <c r="J36" s="69" t="e">
        <f>I36/I12</f>
        <v>#DIV/0!</v>
      </c>
      <c r="K36" s="59">
        <f>K21+K35</f>
        <v>0</v>
      </c>
      <c r="L36" s="69" t="e">
        <f>K36/K12</f>
        <v>#DIV/0!</v>
      </c>
      <c r="M36" s="59">
        <f>M21+M35</f>
        <v>0</v>
      </c>
      <c r="N36" s="69" t="e">
        <f>M36/M12</f>
        <v>#DIV/0!</v>
      </c>
      <c r="O36" s="59">
        <f>O21+O35</f>
        <v>0</v>
      </c>
      <c r="P36" s="69" t="e">
        <f>O36/O12</f>
        <v>#DIV/0!</v>
      </c>
      <c r="Q36" s="59">
        <f>Q21+Q35</f>
        <v>0</v>
      </c>
      <c r="R36" s="69" t="e">
        <f>Q36/Q12</f>
        <v>#DIV/0!</v>
      </c>
      <c r="S36" s="59">
        <f>S21+S35</f>
        <v>0</v>
      </c>
      <c r="T36" s="69" t="e">
        <f>S36/S12</f>
        <v>#DIV/0!</v>
      </c>
      <c r="U36" s="59">
        <f>U21+U35</f>
        <v>0</v>
      </c>
      <c r="V36" s="69" t="e">
        <f>U36/U12</f>
        <v>#DIV/0!</v>
      </c>
      <c r="W36" s="59">
        <f>W21+W35</f>
        <v>0</v>
      </c>
      <c r="X36" s="69" t="e">
        <f>W36/W12</f>
        <v>#DIV/0!</v>
      </c>
      <c r="Y36" s="59">
        <f>Y21+Y35</f>
        <v>0</v>
      </c>
      <c r="Z36" s="69" t="e">
        <f>Y36/Y12</f>
        <v>#DIV/0!</v>
      </c>
      <c r="AA36" s="114">
        <f>AA21+AA35</f>
        <v>0</v>
      </c>
      <c r="AB36" s="115" t="e">
        <f>AA36/AA12</f>
        <v>#DIV/0!</v>
      </c>
      <c r="AC36" s="98">
        <f t="shared" si="1"/>
        <v>0</v>
      </c>
      <c r="AD36" s="99" t="e">
        <f>AC36/AC12</f>
        <v>#DIV/0!</v>
      </c>
      <c r="AE36" s="215"/>
      <c r="AF36" s="54"/>
      <c r="AH36" s="21">
        <f t="shared" si="2"/>
        <v>0</v>
      </c>
    </row>
    <row r="37" spans="1:34" s="289" customFormat="1" ht="15.75" thickBot="1">
      <c r="A37" s="10"/>
      <c r="B37" s="10" t="s">
        <v>68</v>
      </c>
      <c r="C37" s="60">
        <f>(C16-C36)</f>
        <v>0</v>
      </c>
      <c r="D37" s="84" t="e">
        <f>C37/C12</f>
        <v>#DIV/0!</v>
      </c>
      <c r="E37" s="60">
        <f>(E16-E36)</f>
        <v>0</v>
      </c>
      <c r="F37" s="70" t="e">
        <f>E37/E12</f>
        <v>#DIV/0!</v>
      </c>
      <c r="G37" s="60">
        <f>(G16-G36)</f>
        <v>0</v>
      </c>
      <c r="H37" s="84" t="e">
        <f>G37/G12</f>
        <v>#DIV/0!</v>
      </c>
      <c r="I37" s="60">
        <f>(I16-I36)</f>
        <v>0</v>
      </c>
      <c r="J37" s="70" t="e">
        <f>I37/I12</f>
        <v>#DIV/0!</v>
      </c>
      <c r="K37" s="60">
        <f>(K16-K36)</f>
        <v>0</v>
      </c>
      <c r="L37" s="70" t="e">
        <f>K37/K12</f>
        <v>#DIV/0!</v>
      </c>
      <c r="M37" s="60">
        <f>(M16-M36)</f>
        <v>0</v>
      </c>
      <c r="N37" s="70" t="e">
        <f>M37/M12</f>
        <v>#DIV/0!</v>
      </c>
      <c r="O37" s="60">
        <f>(O16-O36)</f>
        <v>0</v>
      </c>
      <c r="P37" s="70" t="e">
        <f>O37/O12</f>
        <v>#DIV/0!</v>
      </c>
      <c r="Q37" s="60">
        <f>(Q16-Q36)</f>
        <v>0</v>
      </c>
      <c r="R37" s="84" t="e">
        <f>Q37/Q12</f>
        <v>#DIV/0!</v>
      </c>
      <c r="S37" s="60">
        <f>(S16-S36)</f>
        <v>0</v>
      </c>
      <c r="T37" s="70" t="e">
        <f>S37/S12</f>
        <v>#DIV/0!</v>
      </c>
      <c r="U37" s="60">
        <f>(U16-U36)</f>
        <v>0</v>
      </c>
      <c r="V37" s="70" t="e">
        <f>U37/U12</f>
        <v>#DIV/0!</v>
      </c>
      <c r="W37" s="60">
        <f>(W16-W36)</f>
        <v>0</v>
      </c>
      <c r="X37" s="84" t="e">
        <f>W37/W12</f>
        <v>#DIV/0!</v>
      </c>
      <c r="Y37" s="60">
        <f>(Y16-Y36)</f>
        <v>0</v>
      </c>
      <c r="Z37" s="70" t="e">
        <f>Y37/Y12</f>
        <v>#DIV/0!</v>
      </c>
      <c r="AA37" s="109">
        <f>(AA16-AA36)</f>
        <v>0</v>
      </c>
      <c r="AB37" s="110" t="e">
        <f>AA37/AA12</f>
        <v>#DIV/0!</v>
      </c>
      <c r="AC37" s="93">
        <f t="shared" si="1"/>
        <v>0</v>
      </c>
      <c r="AD37" s="94" t="e">
        <f>AC37/AC12</f>
        <v>#DIV/0!</v>
      </c>
      <c r="AE37" s="223"/>
      <c r="AF37" s="219" t="s">
        <v>153</v>
      </c>
      <c r="AG37" s="209" t="s">
        <v>154</v>
      </c>
      <c r="AH37" s="21">
        <f t="shared" si="2"/>
        <v>0</v>
      </c>
    </row>
    <row r="38" spans="1:34" s="289" customFormat="1" ht="15.75" thickTop="1">
      <c r="A38" s="2">
        <v>6002</v>
      </c>
      <c r="B38" s="2" t="s">
        <v>45</v>
      </c>
      <c r="C38" s="46"/>
      <c r="D38" s="49" t="e">
        <f t="shared" ref="D38:D50" si="42">C38/C$12</f>
        <v>#DIV/0!</v>
      </c>
      <c r="E38" s="46"/>
      <c r="F38" s="49" t="e">
        <f t="shared" ref="F38:F50" si="43">E38/E$12</f>
        <v>#DIV/0!</v>
      </c>
      <c r="G38" s="46"/>
      <c r="H38" s="49" t="e">
        <f t="shared" ref="H38:H50" si="44">G38/G$12</f>
        <v>#DIV/0!</v>
      </c>
      <c r="I38" s="46"/>
      <c r="J38" s="49" t="e">
        <f t="shared" ref="J38:J50" si="45">I38/I$12</f>
        <v>#DIV/0!</v>
      </c>
      <c r="K38" s="46"/>
      <c r="L38" s="49" t="e">
        <f t="shared" ref="L38:L50" si="46">K38/K$12</f>
        <v>#DIV/0!</v>
      </c>
      <c r="M38" s="46"/>
      <c r="N38" s="49" t="e">
        <f t="shared" ref="N38:N50" si="47">M38/M$12</f>
        <v>#DIV/0!</v>
      </c>
      <c r="O38" s="46"/>
      <c r="P38" s="49" t="e">
        <f>O38/O12</f>
        <v>#DIV/0!</v>
      </c>
      <c r="Q38" s="46"/>
      <c r="R38" s="49" t="e">
        <f t="shared" ref="R38:R50" si="48">Q38/Q$12</f>
        <v>#DIV/0!</v>
      </c>
      <c r="S38" s="46"/>
      <c r="T38" s="49" t="e">
        <f t="shared" ref="T38:T50" si="49">S38/S$12</f>
        <v>#DIV/0!</v>
      </c>
      <c r="U38" s="46"/>
      <c r="V38" s="49" t="e">
        <f>U38/U12</f>
        <v>#DIV/0!</v>
      </c>
      <c r="W38" s="46"/>
      <c r="X38" s="49" t="e">
        <f t="shared" ref="X38:X50" si="50">W38/W$12</f>
        <v>#DIV/0!</v>
      </c>
      <c r="Y38" s="46"/>
      <c r="Z38" s="49" t="e">
        <f t="shared" ref="Z38:Z50" si="51">Y38/Y$12</f>
        <v>#DIV/0!</v>
      </c>
      <c r="AA38" s="105">
        <f>C38+E38+G38+I38+K38+M38+O38+Q38+S38+U38+W38+Y38</f>
        <v>0</v>
      </c>
      <c r="AB38" s="108" t="e">
        <f t="shared" ref="AB38:AB93" si="52">AA38/AA$12</f>
        <v>#DIV/0!</v>
      </c>
      <c r="AC38" s="89">
        <f t="shared" si="1"/>
        <v>0</v>
      </c>
      <c r="AD38" s="92" t="e">
        <f t="shared" ref="AD38:AD93" si="53">AC38/AC$12</f>
        <v>#DIV/0!</v>
      </c>
      <c r="AE38" s="214"/>
      <c r="AF38" s="54"/>
      <c r="AH38" s="21">
        <f t="shared" si="2"/>
        <v>0</v>
      </c>
    </row>
    <row r="39" spans="1:34" s="289" customFormat="1">
      <c r="A39" s="2">
        <v>6003</v>
      </c>
      <c r="B39" s="2" t="s">
        <v>0</v>
      </c>
      <c r="C39" s="46"/>
      <c r="D39" s="49" t="e">
        <f t="shared" si="42"/>
        <v>#DIV/0!</v>
      </c>
      <c r="E39" s="46"/>
      <c r="F39" s="49" t="e">
        <f t="shared" si="43"/>
        <v>#DIV/0!</v>
      </c>
      <c r="G39" s="46"/>
      <c r="H39" s="49" t="e">
        <f t="shared" si="44"/>
        <v>#DIV/0!</v>
      </c>
      <c r="I39" s="46"/>
      <c r="J39" s="49" t="e">
        <f t="shared" si="45"/>
        <v>#DIV/0!</v>
      </c>
      <c r="K39" s="46"/>
      <c r="L39" s="49" t="e">
        <f t="shared" si="46"/>
        <v>#DIV/0!</v>
      </c>
      <c r="M39" s="46"/>
      <c r="N39" s="49" t="e">
        <f t="shared" si="47"/>
        <v>#DIV/0!</v>
      </c>
      <c r="O39" s="46"/>
      <c r="P39" s="49" t="e">
        <f t="shared" ref="P39" si="54">O39/O12</f>
        <v>#DIV/0!</v>
      </c>
      <c r="Q39" s="46"/>
      <c r="R39" s="49" t="e">
        <f t="shared" si="48"/>
        <v>#DIV/0!</v>
      </c>
      <c r="S39" s="46"/>
      <c r="T39" s="49" t="e">
        <f t="shared" si="49"/>
        <v>#DIV/0!</v>
      </c>
      <c r="U39" s="46"/>
      <c r="V39" s="49" t="e">
        <f t="shared" ref="V39" si="55">U39/U12</f>
        <v>#DIV/0!</v>
      </c>
      <c r="W39" s="46"/>
      <c r="X39" s="49" t="e">
        <f t="shared" si="50"/>
        <v>#DIV/0!</v>
      </c>
      <c r="Y39" s="46"/>
      <c r="Z39" s="49" t="e">
        <f t="shared" si="51"/>
        <v>#DIV/0!</v>
      </c>
      <c r="AA39" s="105">
        <f>C39+E39+G39+I39+K39+M39+O39+Q39+S39+U39+W39+Y39</f>
        <v>0</v>
      </c>
      <c r="AB39" s="108" t="e">
        <f t="shared" si="52"/>
        <v>#DIV/0!</v>
      </c>
      <c r="AC39" s="89">
        <f t="shared" si="1"/>
        <v>0</v>
      </c>
      <c r="AD39" s="92" t="e">
        <f t="shared" si="53"/>
        <v>#DIV/0!</v>
      </c>
      <c r="AE39" s="214"/>
      <c r="AF39" s="54"/>
      <c r="AH39" s="21">
        <f t="shared" si="2"/>
        <v>0</v>
      </c>
    </row>
    <row r="40" spans="1:34" s="289" customFormat="1">
      <c r="A40" s="2">
        <v>6004</v>
      </c>
      <c r="B40" s="2" t="s">
        <v>1</v>
      </c>
      <c r="C40" s="46"/>
      <c r="D40" s="49" t="e">
        <f t="shared" si="42"/>
        <v>#DIV/0!</v>
      </c>
      <c r="E40" s="46"/>
      <c r="F40" s="49" t="e">
        <f t="shared" si="43"/>
        <v>#DIV/0!</v>
      </c>
      <c r="G40" s="46"/>
      <c r="H40" s="49" t="e">
        <f t="shared" si="44"/>
        <v>#DIV/0!</v>
      </c>
      <c r="I40" s="46"/>
      <c r="J40" s="49" t="e">
        <f t="shared" si="45"/>
        <v>#DIV/0!</v>
      </c>
      <c r="K40" s="46"/>
      <c r="L40" s="49" t="e">
        <f t="shared" si="46"/>
        <v>#DIV/0!</v>
      </c>
      <c r="M40" s="46"/>
      <c r="N40" s="49" t="e">
        <f t="shared" si="47"/>
        <v>#DIV/0!</v>
      </c>
      <c r="O40" s="46"/>
      <c r="P40" s="49" t="e">
        <f>O40/O16</f>
        <v>#DIV/0!</v>
      </c>
      <c r="Q40" s="46"/>
      <c r="R40" s="49" t="e">
        <f t="shared" si="48"/>
        <v>#DIV/0!</v>
      </c>
      <c r="S40" s="46"/>
      <c r="T40" s="49" t="e">
        <f t="shared" si="49"/>
        <v>#DIV/0!</v>
      </c>
      <c r="U40" s="46"/>
      <c r="V40" s="49" t="e">
        <f>U40/U16</f>
        <v>#DIV/0!</v>
      </c>
      <c r="W40" s="46"/>
      <c r="X40" s="49" t="e">
        <f t="shared" si="50"/>
        <v>#DIV/0!</v>
      </c>
      <c r="Y40" s="46"/>
      <c r="Z40" s="49" t="e">
        <f t="shared" si="51"/>
        <v>#DIV/0!</v>
      </c>
      <c r="AA40" s="105">
        <f>C40+E40+G40+I40+K40+M40+O40+Q40+S40+U40+W40+Y40</f>
        <v>0</v>
      </c>
      <c r="AB40" s="108" t="e">
        <f t="shared" si="52"/>
        <v>#DIV/0!</v>
      </c>
      <c r="AC40" s="89">
        <f t="shared" si="1"/>
        <v>0</v>
      </c>
      <c r="AD40" s="92" t="e">
        <f t="shared" si="53"/>
        <v>#DIV/0!</v>
      </c>
      <c r="AE40" s="214"/>
      <c r="AF40" s="54"/>
      <c r="AH40" s="21">
        <f t="shared" si="2"/>
        <v>0</v>
      </c>
    </row>
    <row r="41" spans="1:34" s="289" customFormat="1" ht="15.75" thickBot="1">
      <c r="A41" s="53">
        <v>6099</v>
      </c>
      <c r="B41" s="53" t="s">
        <v>112</v>
      </c>
      <c r="C41" s="174">
        <f>SUM(C38:C40)</f>
        <v>0</v>
      </c>
      <c r="D41" s="83" t="e">
        <f t="shared" si="42"/>
        <v>#DIV/0!</v>
      </c>
      <c r="E41" s="174">
        <f>SUM(E38:E40)</f>
        <v>0</v>
      </c>
      <c r="F41" s="83" t="e">
        <f t="shared" si="43"/>
        <v>#DIV/0!</v>
      </c>
      <c r="G41" s="174">
        <f>SUM(G38:G40)</f>
        <v>0</v>
      </c>
      <c r="H41" s="83" t="e">
        <f t="shared" si="44"/>
        <v>#DIV/0!</v>
      </c>
      <c r="I41" s="174">
        <f>SUM(I38:I40)</f>
        <v>0</v>
      </c>
      <c r="J41" s="83" t="e">
        <f t="shared" si="45"/>
        <v>#DIV/0!</v>
      </c>
      <c r="K41" s="174">
        <f>SUM(K38:K40)</f>
        <v>0</v>
      </c>
      <c r="L41" s="83" t="e">
        <f t="shared" si="46"/>
        <v>#DIV/0!</v>
      </c>
      <c r="M41" s="174">
        <f>SUM(M38:M40)</f>
        <v>0</v>
      </c>
      <c r="N41" s="83" t="e">
        <f t="shared" si="47"/>
        <v>#DIV/0!</v>
      </c>
      <c r="O41" s="174">
        <f>SUM(O38:O40)</f>
        <v>0</v>
      </c>
      <c r="P41" s="83" t="e">
        <f t="shared" ref="P41:P50" si="56">O41/O$12</f>
        <v>#DIV/0!</v>
      </c>
      <c r="Q41" s="174">
        <f>SUM(Q38:Q40)</f>
        <v>0</v>
      </c>
      <c r="R41" s="83" t="e">
        <f t="shared" si="48"/>
        <v>#DIV/0!</v>
      </c>
      <c r="S41" s="174">
        <f>SUM(S38:S40)</f>
        <v>0</v>
      </c>
      <c r="T41" s="83" t="e">
        <f t="shared" si="49"/>
        <v>#DIV/0!</v>
      </c>
      <c r="U41" s="174">
        <f>SUM(U38:U40)</f>
        <v>0</v>
      </c>
      <c r="V41" s="83" t="e">
        <f t="shared" ref="V41:V50" si="57">U41/U$12</f>
        <v>#DIV/0!</v>
      </c>
      <c r="W41" s="174">
        <f>SUM(W38:W40)</f>
        <v>0</v>
      </c>
      <c r="X41" s="83" t="e">
        <f t="shared" si="50"/>
        <v>#DIV/0!</v>
      </c>
      <c r="Y41" s="174">
        <f>SUM(Y38:Y40)</f>
        <v>0</v>
      </c>
      <c r="Z41" s="83" t="e">
        <f t="shared" si="51"/>
        <v>#DIV/0!</v>
      </c>
      <c r="AA41" s="109">
        <f>SUM(AA38:AA40)</f>
        <v>0</v>
      </c>
      <c r="AB41" s="163" t="e">
        <f t="shared" si="52"/>
        <v>#DIV/0!</v>
      </c>
      <c r="AC41" s="93">
        <f t="shared" si="1"/>
        <v>0</v>
      </c>
      <c r="AD41" s="163" t="e">
        <f t="shared" si="53"/>
        <v>#DIV/0!</v>
      </c>
      <c r="AE41" s="227"/>
      <c r="AF41" s="219"/>
      <c r="AG41" s="209"/>
      <c r="AH41" s="21">
        <f t="shared" si="2"/>
        <v>0</v>
      </c>
    </row>
    <row r="42" spans="1:34" s="289" customFormat="1" ht="15.75" thickTop="1">
      <c r="A42" s="128">
        <v>6101</v>
      </c>
      <c r="B42" s="2" t="s">
        <v>2</v>
      </c>
      <c r="C42" s="46"/>
      <c r="D42" s="49" t="e">
        <f t="shared" si="42"/>
        <v>#DIV/0!</v>
      </c>
      <c r="E42" s="46"/>
      <c r="F42" s="49" t="e">
        <f t="shared" si="43"/>
        <v>#DIV/0!</v>
      </c>
      <c r="G42" s="46"/>
      <c r="H42" s="49" t="e">
        <f t="shared" si="44"/>
        <v>#DIV/0!</v>
      </c>
      <c r="I42" s="46"/>
      <c r="J42" s="49" t="e">
        <f t="shared" si="45"/>
        <v>#DIV/0!</v>
      </c>
      <c r="K42" s="46"/>
      <c r="L42" s="49" t="e">
        <f t="shared" si="46"/>
        <v>#DIV/0!</v>
      </c>
      <c r="M42" s="46"/>
      <c r="N42" s="49" t="e">
        <f t="shared" si="47"/>
        <v>#DIV/0!</v>
      </c>
      <c r="O42" s="46"/>
      <c r="P42" s="49" t="e">
        <f t="shared" si="56"/>
        <v>#DIV/0!</v>
      </c>
      <c r="Q42" s="46"/>
      <c r="R42" s="49" t="e">
        <f t="shared" si="48"/>
        <v>#DIV/0!</v>
      </c>
      <c r="S42" s="46"/>
      <c r="T42" s="49" t="e">
        <f t="shared" si="49"/>
        <v>#DIV/0!</v>
      </c>
      <c r="U42" s="46"/>
      <c r="V42" s="49" t="e">
        <f t="shared" si="57"/>
        <v>#DIV/0!</v>
      </c>
      <c r="W42" s="46"/>
      <c r="X42" s="49" t="e">
        <f t="shared" si="50"/>
        <v>#DIV/0!</v>
      </c>
      <c r="Y42" s="46"/>
      <c r="Z42" s="49" t="e">
        <f t="shared" si="51"/>
        <v>#DIV/0!</v>
      </c>
      <c r="AA42" s="105">
        <f t="shared" ref="AA42:AA75" si="58">C42+E42+G42+I42+K42+M42+O42+Q42+S42+U42+W42+Y42</f>
        <v>0</v>
      </c>
      <c r="AB42" s="108" t="e">
        <f t="shared" si="52"/>
        <v>#DIV/0!</v>
      </c>
      <c r="AC42" s="89">
        <f t="shared" si="1"/>
        <v>0</v>
      </c>
      <c r="AD42" s="92" t="e">
        <f t="shared" si="53"/>
        <v>#DIV/0!</v>
      </c>
      <c r="AE42" s="214"/>
      <c r="AF42" s="54"/>
      <c r="AH42" s="21">
        <f t="shared" si="2"/>
        <v>0</v>
      </c>
    </row>
    <row r="43" spans="1:34" s="289" customFormat="1">
      <c r="A43" s="128">
        <v>6102</v>
      </c>
      <c r="B43" s="2" t="s">
        <v>3</v>
      </c>
      <c r="C43" s="55"/>
      <c r="D43" s="49" t="e">
        <f t="shared" si="42"/>
        <v>#DIV/0!</v>
      </c>
      <c r="E43" s="55"/>
      <c r="F43" s="49" t="e">
        <f t="shared" si="43"/>
        <v>#DIV/0!</v>
      </c>
      <c r="G43" s="55"/>
      <c r="H43" s="49" t="e">
        <f t="shared" si="44"/>
        <v>#DIV/0!</v>
      </c>
      <c r="I43" s="55"/>
      <c r="J43" s="49" t="e">
        <f t="shared" si="45"/>
        <v>#DIV/0!</v>
      </c>
      <c r="K43" s="55"/>
      <c r="L43" s="49" t="e">
        <f t="shared" si="46"/>
        <v>#DIV/0!</v>
      </c>
      <c r="M43" s="55"/>
      <c r="N43" s="49" t="e">
        <f t="shared" si="47"/>
        <v>#DIV/0!</v>
      </c>
      <c r="O43" s="55"/>
      <c r="P43" s="49" t="e">
        <f t="shared" si="56"/>
        <v>#DIV/0!</v>
      </c>
      <c r="Q43" s="55"/>
      <c r="R43" s="49" t="e">
        <f t="shared" si="48"/>
        <v>#DIV/0!</v>
      </c>
      <c r="S43" s="55"/>
      <c r="T43" s="49" t="e">
        <f t="shared" si="49"/>
        <v>#DIV/0!</v>
      </c>
      <c r="U43" s="55"/>
      <c r="V43" s="49" t="e">
        <f t="shared" si="57"/>
        <v>#DIV/0!</v>
      </c>
      <c r="W43" s="55"/>
      <c r="X43" s="49" t="e">
        <f t="shared" si="50"/>
        <v>#DIV/0!</v>
      </c>
      <c r="Y43" s="55"/>
      <c r="Z43" s="49" t="e">
        <f t="shared" si="51"/>
        <v>#DIV/0!</v>
      </c>
      <c r="AA43" s="105">
        <f t="shared" si="58"/>
        <v>0</v>
      </c>
      <c r="AB43" s="108" t="e">
        <f t="shared" si="52"/>
        <v>#DIV/0!</v>
      </c>
      <c r="AC43" s="89">
        <f t="shared" si="1"/>
        <v>0</v>
      </c>
      <c r="AD43" s="92" t="e">
        <f t="shared" si="53"/>
        <v>#DIV/0!</v>
      </c>
      <c r="AE43" s="214"/>
      <c r="AF43" s="54"/>
      <c r="AH43" s="21">
        <f t="shared" si="2"/>
        <v>0</v>
      </c>
    </row>
    <row r="44" spans="1:34" s="289" customFormat="1">
      <c r="A44" s="128">
        <v>6103</v>
      </c>
      <c r="B44" s="2" t="s">
        <v>4</v>
      </c>
      <c r="C44" s="46"/>
      <c r="D44" s="49" t="e">
        <f t="shared" si="42"/>
        <v>#DIV/0!</v>
      </c>
      <c r="E44" s="46"/>
      <c r="F44" s="49" t="e">
        <f t="shared" si="43"/>
        <v>#DIV/0!</v>
      </c>
      <c r="G44" s="46"/>
      <c r="H44" s="49" t="e">
        <f t="shared" si="44"/>
        <v>#DIV/0!</v>
      </c>
      <c r="I44" s="46"/>
      <c r="J44" s="49" t="e">
        <f t="shared" si="45"/>
        <v>#DIV/0!</v>
      </c>
      <c r="K44" s="46"/>
      <c r="L44" s="49" t="e">
        <f t="shared" si="46"/>
        <v>#DIV/0!</v>
      </c>
      <c r="M44" s="46"/>
      <c r="N44" s="49" t="e">
        <f t="shared" si="47"/>
        <v>#DIV/0!</v>
      </c>
      <c r="O44" s="46"/>
      <c r="P44" s="49" t="e">
        <f t="shared" si="56"/>
        <v>#DIV/0!</v>
      </c>
      <c r="Q44" s="46"/>
      <c r="R44" s="49" t="e">
        <f t="shared" si="48"/>
        <v>#DIV/0!</v>
      </c>
      <c r="S44" s="46"/>
      <c r="T44" s="49" t="e">
        <f t="shared" si="49"/>
        <v>#DIV/0!</v>
      </c>
      <c r="U44" s="46"/>
      <c r="V44" s="49" t="e">
        <f t="shared" si="57"/>
        <v>#DIV/0!</v>
      </c>
      <c r="W44" s="46"/>
      <c r="X44" s="49" t="e">
        <f t="shared" si="50"/>
        <v>#DIV/0!</v>
      </c>
      <c r="Y44" s="46"/>
      <c r="Z44" s="49" t="e">
        <f t="shared" si="51"/>
        <v>#DIV/0!</v>
      </c>
      <c r="AA44" s="105">
        <f t="shared" si="58"/>
        <v>0</v>
      </c>
      <c r="AB44" s="108" t="e">
        <f t="shared" si="52"/>
        <v>#DIV/0!</v>
      </c>
      <c r="AC44" s="266">
        <f t="shared" si="1"/>
        <v>0</v>
      </c>
      <c r="AD44" s="92" t="e">
        <f t="shared" si="53"/>
        <v>#DIV/0!</v>
      </c>
      <c r="AE44" s="214"/>
      <c r="AF44" s="54"/>
      <c r="AH44" s="21">
        <f t="shared" si="2"/>
        <v>0</v>
      </c>
    </row>
    <row r="45" spans="1:34" s="289" customFormat="1" ht="15.75">
      <c r="A45" s="128">
        <v>6104</v>
      </c>
      <c r="B45" s="230" t="s">
        <v>5</v>
      </c>
      <c r="C45" s="293"/>
      <c r="D45" s="49" t="e">
        <f t="shared" si="42"/>
        <v>#DIV/0!</v>
      </c>
      <c r="E45" s="293"/>
      <c r="F45" s="49" t="e">
        <f t="shared" si="43"/>
        <v>#DIV/0!</v>
      </c>
      <c r="G45" s="293"/>
      <c r="H45" s="49" t="e">
        <f t="shared" si="44"/>
        <v>#DIV/0!</v>
      </c>
      <c r="I45" s="293"/>
      <c r="J45" s="49" t="e">
        <f t="shared" si="45"/>
        <v>#DIV/0!</v>
      </c>
      <c r="K45" s="293"/>
      <c r="L45" s="49" t="e">
        <f t="shared" si="46"/>
        <v>#DIV/0!</v>
      </c>
      <c r="M45" s="293"/>
      <c r="N45" s="49" t="e">
        <f t="shared" si="47"/>
        <v>#DIV/0!</v>
      </c>
      <c r="O45" s="293"/>
      <c r="P45" s="49" t="e">
        <f t="shared" si="56"/>
        <v>#DIV/0!</v>
      </c>
      <c r="Q45" s="293"/>
      <c r="R45" s="49" t="e">
        <f t="shared" si="48"/>
        <v>#DIV/0!</v>
      </c>
      <c r="S45" s="293"/>
      <c r="T45" s="49" t="e">
        <f t="shared" si="49"/>
        <v>#DIV/0!</v>
      </c>
      <c r="U45" s="293"/>
      <c r="V45" s="49" t="e">
        <f t="shared" si="57"/>
        <v>#DIV/0!</v>
      </c>
      <c r="W45" s="293"/>
      <c r="X45" s="49" t="e">
        <f t="shared" si="50"/>
        <v>#DIV/0!</v>
      </c>
      <c r="Y45" s="293"/>
      <c r="Z45" s="49" t="e">
        <f t="shared" si="51"/>
        <v>#DIV/0!</v>
      </c>
      <c r="AA45" s="105">
        <f t="shared" si="58"/>
        <v>0</v>
      </c>
      <c r="AB45" s="108" t="e">
        <f t="shared" si="52"/>
        <v>#DIV/0!</v>
      </c>
      <c r="AC45" s="89">
        <f t="shared" si="1"/>
        <v>0</v>
      </c>
      <c r="AD45" s="92" t="e">
        <f t="shared" si="53"/>
        <v>#DIV/0!</v>
      </c>
      <c r="AE45" s="214"/>
      <c r="AF45" s="54"/>
      <c r="AG45" s="5"/>
      <c r="AH45" s="21">
        <f t="shared" si="2"/>
        <v>0</v>
      </c>
    </row>
    <row r="46" spans="1:34" s="289" customFormat="1">
      <c r="A46" s="128">
        <v>6105</v>
      </c>
      <c r="B46" s="2" t="s">
        <v>39</v>
      </c>
      <c r="C46" s="55"/>
      <c r="D46" s="49" t="e">
        <f t="shared" si="42"/>
        <v>#DIV/0!</v>
      </c>
      <c r="E46" s="55"/>
      <c r="F46" s="49" t="e">
        <f t="shared" si="43"/>
        <v>#DIV/0!</v>
      </c>
      <c r="G46" s="55"/>
      <c r="H46" s="49" t="e">
        <f t="shared" si="44"/>
        <v>#DIV/0!</v>
      </c>
      <c r="I46" s="55"/>
      <c r="J46" s="49" t="e">
        <f t="shared" si="45"/>
        <v>#DIV/0!</v>
      </c>
      <c r="K46" s="55"/>
      <c r="L46" s="49" t="e">
        <f t="shared" si="46"/>
        <v>#DIV/0!</v>
      </c>
      <c r="M46" s="55"/>
      <c r="N46" s="49" t="e">
        <f t="shared" si="47"/>
        <v>#DIV/0!</v>
      </c>
      <c r="O46" s="55"/>
      <c r="P46" s="49" t="e">
        <f t="shared" si="56"/>
        <v>#DIV/0!</v>
      </c>
      <c r="Q46" s="55"/>
      <c r="R46" s="49" t="e">
        <f t="shared" si="48"/>
        <v>#DIV/0!</v>
      </c>
      <c r="S46" s="55"/>
      <c r="T46" s="49" t="e">
        <f t="shared" si="49"/>
        <v>#DIV/0!</v>
      </c>
      <c r="U46" s="55"/>
      <c r="V46" s="49" t="e">
        <f t="shared" si="57"/>
        <v>#DIV/0!</v>
      </c>
      <c r="W46" s="55"/>
      <c r="X46" s="49" t="e">
        <f t="shared" si="50"/>
        <v>#DIV/0!</v>
      </c>
      <c r="Y46" s="55"/>
      <c r="Z46" s="49" t="e">
        <f t="shared" si="51"/>
        <v>#DIV/0!</v>
      </c>
      <c r="AA46" s="105">
        <f t="shared" si="58"/>
        <v>0</v>
      </c>
      <c r="AB46" s="108" t="e">
        <f t="shared" si="52"/>
        <v>#DIV/0!</v>
      </c>
      <c r="AC46" s="89">
        <f t="shared" si="1"/>
        <v>0</v>
      </c>
      <c r="AD46" s="92" t="e">
        <f t="shared" si="53"/>
        <v>#DIV/0!</v>
      </c>
      <c r="AE46" s="214"/>
      <c r="AF46" s="54"/>
      <c r="AG46" s="5"/>
      <c r="AH46" s="21">
        <f t="shared" si="2"/>
        <v>0</v>
      </c>
    </row>
    <row r="47" spans="1:34" s="289" customFormat="1">
      <c r="A47" s="128">
        <v>6106</v>
      </c>
      <c r="B47" s="2" t="s">
        <v>6</v>
      </c>
      <c r="C47" s="55"/>
      <c r="D47" s="49" t="e">
        <f t="shared" si="42"/>
        <v>#DIV/0!</v>
      </c>
      <c r="E47" s="55"/>
      <c r="F47" s="49" t="e">
        <f t="shared" si="43"/>
        <v>#DIV/0!</v>
      </c>
      <c r="G47" s="55"/>
      <c r="H47" s="49" t="e">
        <f t="shared" si="44"/>
        <v>#DIV/0!</v>
      </c>
      <c r="I47" s="55"/>
      <c r="J47" s="49" t="e">
        <f t="shared" si="45"/>
        <v>#DIV/0!</v>
      </c>
      <c r="K47" s="55"/>
      <c r="L47" s="49" t="e">
        <f t="shared" si="46"/>
        <v>#DIV/0!</v>
      </c>
      <c r="M47" s="55"/>
      <c r="N47" s="49" t="e">
        <f t="shared" si="47"/>
        <v>#DIV/0!</v>
      </c>
      <c r="O47" s="55"/>
      <c r="P47" s="49" t="e">
        <f t="shared" si="56"/>
        <v>#DIV/0!</v>
      </c>
      <c r="Q47" s="55"/>
      <c r="R47" s="49" t="e">
        <f t="shared" si="48"/>
        <v>#DIV/0!</v>
      </c>
      <c r="S47" s="55"/>
      <c r="T47" s="49" t="e">
        <f t="shared" si="49"/>
        <v>#DIV/0!</v>
      </c>
      <c r="U47" s="55"/>
      <c r="V47" s="49" t="e">
        <f t="shared" si="57"/>
        <v>#DIV/0!</v>
      </c>
      <c r="W47" s="55"/>
      <c r="X47" s="49" t="e">
        <f t="shared" si="50"/>
        <v>#DIV/0!</v>
      </c>
      <c r="Y47" s="55"/>
      <c r="Z47" s="49" t="e">
        <f t="shared" si="51"/>
        <v>#DIV/0!</v>
      </c>
      <c r="AA47" s="105">
        <f t="shared" si="58"/>
        <v>0</v>
      </c>
      <c r="AB47" s="108" t="e">
        <f t="shared" si="52"/>
        <v>#DIV/0!</v>
      </c>
      <c r="AC47" s="89">
        <f t="shared" si="1"/>
        <v>0</v>
      </c>
      <c r="AD47" s="92" t="e">
        <f t="shared" si="53"/>
        <v>#DIV/0!</v>
      </c>
      <c r="AE47" s="214"/>
      <c r="AF47" s="54"/>
      <c r="AH47" s="21">
        <f t="shared" si="2"/>
        <v>0</v>
      </c>
    </row>
    <row r="48" spans="1:34" s="289" customFormat="1">
      <c r="A48" s="128">
        <v>6107</v>
      </c>
      <c r="B48" s="2" t="s">
        <v>7</v>
      </c>
      <c r="C48" s="55"/>
      <c r="D48" s="49" t="e">
        <f t="shared" si="42"/>
        <v>#DIV/0!</v>
      </c>
      <c r="E48" s="55"/>
      <c r="F48" s="49" t="e">
        <f t="shared" si="43"/>
        <v>#DIV/0!</v>
      </c>
      <c r="G48" s="55"/>
      <c r="H48" s="49" t="e">
        <f t="shared" si="44"/>
        <v>#DIV/0!</v>
      </c>
      <c r="I48" s="55"/>
      <c r="J48" s="49" t="e">
        <f t="shared" si="45"/>
        <v>#DIV/0!</v>
      </c>
      <c r="K48" s="55"/>
      <c r="L48" s="49" t="e">
        <f t="shared" si="46"/>
        <v>#DIV/0!</v>
      </c>
      <c r="M48" s="55"/>
      <c r="N48" s="49" t="e">
        <f t="shared" si="47"/>
        <v>#DIV/0!</v>
      </c>
      <c r="O48" s="55"/>
      <c r="P48" s="49" t="e">
        <f t="shared" si="56"/>
        <v>#DIV/0!</v>
      </c>
      <c r="Q48" s="55"/>
      <c r="R48" s="49" t="e">
        <f t="shared" si="48"/>
        <v>#DIV/0!</v>
      </c>
      <c r="S48" s="55"/>
      <c r="T48" s="49" t="e">
        <f t="shared" si="49"/>
        <v>#DIV/0!</v>
      </c>
      <c r="U48" s="55"/>
      <c r="V48" s="49" t="e">
        <f t="shared" si="57"/>
        <v>#DIV/0!</v>
      </c>
      <c r="W48" s="55"/>
      <c r="X48" s="49" t="e">
        <f t="shared" si="50"/>
        <v>#DIV/0!</v>
      </c>
      <c r="Y48" s="55"/>
      <c r="Z48" s="49" t="e">
        <f t="shared" si="51"/>
        <v>#DIV/0!</v>
      </c>
      <c r="AA48" s="105">
        <f t="shared" si="58"/>
        <v>0</v>
      </c>
      <c r="AB48" s="108" t="e">
        <f t="shared" si="52"/>
        <v>#DIV/0!</v>
      </c>
      <c r="AC48" s="89">
        <f t="shared" si="1"/>
        <v>0</v>
      </c>
      <c r="AD48" s="92" t="e">
        <f t="shared" si="53"/>
        <v>#DIV/0!</v>
      </c>
      <c r="AE48" s="214"/>
      <c r="AF48" s="54"/>
      <c r="AH48" s="21">
        <f t="shared" si="2"/>
        <v>0</v>
      </c>
    </row>
    <row r="49" spans="1:34" s="289" customFormat="1">
      <c r="A49" s="128">
        <v>6108</v>
      </c>
      <c r="B49" s="128" t="s">
        <v>8</v>
      </c>
      <c r="C49" s="55"/>
      <c r="D49" s="49" t="e">
        <f t="shared" si="42"/>
        <v>#DIV/0!</v>
      </c>
      <c r="E49" s="55"/>
      <c r="F49" s="49" t="e">
        <f t="shared" si="43"/>
        <v>#DIV/0!</v>
      </c>
      <c r="G49" s="55"/>
      <c r="H49" s="49" t="e">
        <f t="shared" si="44"/>
        <v>#DIV/0!</v>
      </c>
      <c r="I49" s="55"/>
      <c r="J49" s="49" t="e">
        <f t="shared" si="45"/>
        <v>#DIV/0!</v>
      </c>
      <c r="K49" s="55"/>
      <c r="L49" s="49" t="e">
        <f t="shared" si="46"/>
        <v>#DIV/0!</v>
      </c>
      <c r="M49" s="55"/>
      <c r="N49" s="49" t="e">
        <f t="shared" si="47"/>
        <v>#DIV/0!</v>
      </c>
      <c r="O49" s="55"/>
      <c r="P49" s="49" t="e">
        <f t="shared" si="56"/>
        <v>#DIV/0!</v>
      </c>
      <c r="Q49" s="55"/>
      <c r="R49" s="49" t="e">
        <f t="shared" si="48"/>
        <v>#DIV/0!</v>
      </c>
      <c r="S49" s="55"/>
      <c r="T49" s="49" t="e">
        <f t="shared" si="49"/>
        <v>#DIV/0!</v>
      </c>
      <c r="U49" s="55"/>
      <c r="V49" s="49" t="e">
        <f t="shared" si="57"/>
        <v>#DIV/0!</v>
      </c>
      <c r="W49" s="55"/>
      <c r="X49" s="49" t="e">
        <f t="shared" si="50"/>
        <v>#DIV/0!</v>
      </c>
      <c r="Y49" s="55"/>
      <c r="Z49" s="49" t="e">
        <f t="shared" si="51"/>
        <v>#DIV/0!</v>
      </c>
      <c r="AA49" s="105">
        <f t="shared" si="58"/>
        <v>0</v>
      </c>
      <c r="AB49" s="108" t="e">
        <f t="shared" si="52"/>
        <v>#DIV/0!</v>
      </c>
      <c r="AC49" s="89">
        <f t="shared" si="1"/>
        <v>0</v>
      </c>
      <c r="AD49" s="92" t="e">
        <f t="shared" si="53"/>
        <v>#DIV/0!</v>
      </c>
      <c r="AE49" s="214"/>
      <c r="AF49" s="54"/>
      <c r="AH49" s="21">
        <f t="shared" si="2"/>
        <v>0</v>
      </c>
    </row>
    <row r="50" spans="1:34" s="289" customFormat="1">
      <c r="A50" s="128">
        <v>6109</v>
      </c>
      <c r="B50" s="128" t="s">
        <v>79</v>
      </c>
      <c r="C50" s="55"/>
      <c r="D50" s="49" t="e">
        <f t="shared" si="42"/>
        <v>#DIV/0!</v>
      </c>
      <c r="E50" s="55"/>
      <c r="F50" s="49" t="e">
        <f t="shared" si="43"/>
        <v>#DIV/0!</v>
      </c>
      <c r="G50" s="55"/>
      <c r="H50" s="49" t="e">
        <f t="shared" si="44"/>
        <v>#DIV/0!</v>
      </c>
      <c r="I50" s="55"/>
      <c r="J50" s="49" t="e">
        <f t="shared" si="45"/>
        <v>#DIV/0!</v>
      </c>
      <c r="K50" s="55"/>
      <c r="L50" s="49" t="e">
        <f t="shared" si="46"/>
        <v>#DIV/0!</v>
      </c>
      <c r="M50" s="55"/>
      <c r="N50" s="49" t="e">
        <f t="shared" si="47"/>
        <v>#DIV/0!</v>
      </c>
      <c r="O50" s="55"/>
      <c r="P50" s="49" t="e">
        <f t="shared" si="56"/>
        <v>#DIV/0!</v>
      </c>
      <c r="Q50" s="55"/>
      <c r="R50" s="49" t="e">
        <f t="shared" si="48"/>
        <v>#DIV/0!</v>
      </c>
      <c r="S50" s="55"/>
      <c r="T50" s="49" t="e">
        <f t="shared" si="49"/>
        <v>#DIV/0!</v>
      </c>
      <c r="U50" s="55"/>
      <c r="V50" s="49" t="e">
        <f t="shared" si="57"/>
        <v>#DIV/0!</v>
      </c>
      <c r="W50" s="55"/>
      <c r="X50" s="49" t="e">
        <f t="shared" si="50"/>
        <v>#DIV/0!</v>
      </c>
      <c r="Y50" s="55"/>
      <c r="Z50" s="49" t="e">
        <f t="shared" si="51"/>
        <v>#DIV/0!</v>
      </c>
      <c r="AA50" s="105">
        <f t="shared" si="58"/>
        <v>0</v>
      </c>
      <c r="AB50" s="108" t="e">
        <f t="shared" si="52"/>
        <v>#DIV/0!</v>
      </c>
      <c r="AC50" s="89">
        <f t="shared" si="1"/>
        <v>0</v>
      </c>
      <c r="AD50" s="92" t="e">
        <f t="shared" si="53"/>
        <v>#DIV/0!</v>
      </c>
      <c r="AE50" s="214"/>
      <c r="AF50" s="54"/>
      <c r="AH50" s="21">
        <f t="shared" si="2"/>
        <v>0</v>
      </c>
    </row>
    <row r="51" spans="1:34" s="289" customFormat="1">
      <c r="A51" s="128">
        <v>6110</v>
      </c>
      <c r="B51" s="2" t="s">
        <v>9</v>
      </c>
      <c r="C51" s="55"/>
      <c r="D51" s="49" t="e">
        <f t="shared" ref="D51:D60" si="59">C126/C$12</f>
        <v>#DIV/0!</v>
      </c>
      <c r="E51" s="55"/>
      <c r="F51" s="49" t="e">
        <f t="shared" ref="F51:F60" si="60">E126/E$12</f>
        <v>#DIV/0!</v>
      </c>
      <c r="G51" s="55"/>
      <c r="H51" s="49" t="e">
        <f t="shared" ref="H51:H60" si="61">G126/G$12</f>
        <v>#DIV/0!</v>
      </c>
      <c r="I51" s="55"/>
      <c r="J51" s="49" t="e">
        <f t="shared" ref="J51:J60" si="62">I126/I$12</f>
        <v>#DIV/0!</v>
      </c>
      <c r="K51" s="55"/>
      <c r="L51" s="49" t="e">
        <f t="shared" ref="L51:L60" si="63">K126/K$12</f>
        <v>#DIV/0!</v>
      </c>
      <c r="M51" s="55"/>
      <c r="N51" s="49" t="e">
        <f t="shared" ref="N51:N60" si="64">M126/M$12</f>
        <v>#DIV/0!</v>
      </c>
      <c r="O51" s="55"/>
      <c r="P51" s="49" t="e">
        <f t="shared" ref="P51:P60" si="65">O126/O$12</f>
        <v>#DIV/0!</v>
      </c>
      <c r="Q51" s="55"/>
      <c r="R51" s="49" t="e">
        <f t="shared" ref="R51:R60" si="66">Q126/Q$12</f>
        <v>#DIV/0!</v>
      </c>
      <c r="S51" s="55"/>
      <c r="T51" s="49" t="e">
        <f t="shared" ref="T51:T60" si="67">S126/S$12</f>
        <v>#DIV/0!</v>
      </c>
      <c r="U51" s="55"/>
      <c r="V51" s="49" t="e">
        <f t="shared" ref="V51:V60" si="68">U126/U$12</f>
        <v>#DIV/0!</v>
      </c>
      <c r="W51" s="55"/>
      <c r="X51" s="49" t="e">
        <f t="shared" ref="X51:X60" si="69">W126/W$12</f>
        <v>#DIV/0!</v>
      </c>
      <c r="Y51" s="55"/>
      <c r="Z51" s="49" t="e">
        <f t="shared" ref="Z51:Z60" si="70">Y126/Y$12</f>
        <v>#DIV/0!</v>
      </c>
      <c r="AA51" s="105">
        <f t="shared" si="58"/>
        <v>0</v>
      </c>
      <c r="AB51" s="108" t="e">
        <f t="shared" si="52"/>
        <v>#DIV/0!</v>
      </c>
      <c r="AC51" s="89">
        <f t="shared" si="1"/>
        <v>0</v>
      </c>
      <c r="AD51" s="92" t="e">
        <f t="shared" si="53"/>
        <v>#DIV/0!</v>
      </c>
      <c r="AE51" s="214"/>
      <c r="AF51" s="54"/>
      <c r="AH51" s="21">
        <f t="shared" si="2"/>
        <v>0</v>
      </c>
    </row>
    <row r="52" spans="1:34" s="289" customFormat="1">
      <c r="A52" s="128">
        <v>6111</v>
      </c>
      <c r="B52" s="128" t="s">
        <v>10</v>
      </c>
      <c r="C52" s="46"/>
      <c r="D52" s="49" t="e">
        <f t="shared" si="59"/>
        <v>#DIV/0!</v>
      </c>
      <c r="E52" s="46"/>
      <c r="F52" s="49" t="e">
        <f t="shared" si="60"/>
        <v>#DIV/0!</v>
      </c>
      <c r="G52" s="46"/>
      <c r="H52" s="49" t="e">
        <f t="shared" si="61"/>
        <v>#DIV/0!</v>
      </c>
      <c r="I52" s="46"/>
      <c r="J52" s="49" t="e">
        <f t="shared" si="62"/>
        <v>#DIV/0!</v>
      </c>
      <c r="K52" s="46"/>
      <c r="L52" s="49" t="e">
        <f t="shared" si="63"/>
        <v>#DIV/0!</v>
      </c>
      <c r="M52" s="46"/>
      <c r="N52" s="49" t="e">
        <f t="shared" si="64"/>
        <v>#DIV/0!</v>
      </c>
      <c r="O52" s="46"/>
      <c r="P52" s="49" t="e">
        <f t="shared" si="65"/>
        <v>#DIV/0!</v>
      </c>
      <c r="Q52" s="46"/>
      <c r="R52" s="49" t="e">
        <f t="shared" si="66"/>
        <v>#DIV/0!</v>
      </c>
      <c r="S52" s="46"/>
      <c r="T52" s="49" t="e">
        <f t="shared" si="67"/>
        <v>#DIV/0!</v>
      </c>
      <c r="U52" s="46"/>
      <c r="V52" s="49" t="e">
        <f t="shared" si="68"/>
        <v>#DIV/0!</v>
      </c>
      <c r="W52" s="46"/>
      <c r="X52" s="49" t="e">
        <f t="shared" si="69"/>
        <v>#DIV/0!</v>
      </c>
      <c r="Y52" s="46"/>
      <c r="Z52" s="49" t="e">
        <f t="shared" si="70"/>
        <v>#DIV/0!</v>
      </c>
      <c r="AA52" s="105">
        <f t="shared" si="58"/>
        <v>0</v>
      </c>
      <c r="AB52" s="108" t="e">
        <f t="shared" si="52"/>
        <v>#DIV/0!</v>
      </c>
      <c r="AC52" s="89">
        <f t="shared" si="1"/>
        <v>0</v>
      </c>
      <c r="AD52" s="92" t="e">
        <f t="shared" si="53"/>
        <v>#DIV/0!</v>
      </c>
      <c r="AE52" s="214"/>
      <c r="AF52" s="222"/>
      <c r="AH52" s="21">
        <f t="shared" si="2"/>
        <v>0</v>
      </c>
    </row>
    <row r="53" spans="1:34" s="289" customFormat="1">
      <c r="A53" s="128">
        <v>6112</v>
      </c>
      <c r="B53" s="277" t="s">
        <v>11</v>
      </c>
      <c r="C53" s="46"/>
      <c r="D53" s="49" t="e">
        <f t="shared" si="59"/>
        <v>#DIV/0!</v>
      </c>
      <c r="E53" s="46"/>
      <c r="F53" s="49" t="e">
        <f t="shared" si="60"/>
        <v>#DIV/0!</v>
      </c>
      <c r="G53" s="46"/>
      <c r="H53" s="49" t="e">
        <f t="shared" si="61"/>
        <v>#DIV/0!</v>
      </c>
      <c r="I53" s="46"/>
      <c r="J53" s="49" t="e">
        <f t="shared" si="62"/>
        <v>#DIV/0!</v>
      </c>
      <c r="K53" s="46"/>
      <c r="L53" s="49" t="e">
        <f t="shared" si="63"/>
        <v>#DIV/0!</v>
      </c>
      <c r="M53" s="46"/>
      <c r="N53" s="49" t="e">
        <f t="shared" si="64"/>
        <v>#DIV/0!</v>
      </c>
      <c r="O53" s="46"/>
      <c r="P53" s="49" t="e">
        <f t="shared" si="65"/>
        <v>#DIV/0!</v>
      </c>
      <c r="Q53" s="46"/>
      <c r="R53" s="49" t="e">
        <f t="shared" si="66"/>
        <v>#DIV/0!</v>
      </c>
      <c r="S53" s="46"/>
      <c r="T53" s="49" t="e">
        <f t="shared" si="67"/>
        <v>#DIV/0!</v>
      </c>
      <c r="U53" s="46"/>
      <c r="V53" s="49" t="e">
        <f t="shared" si="68"/>
        <v>#DIV/0!</v>
      </c>
      <c r="W53" s="46"/>
      <c r="X53" s="49" t="e">
        <f t="shared" si="69"/>
        <v>#DIV/0!</v>
      </c>
      <c r="Y53" s="46"/>
      <c r="Z53" s="49" t="e">
        <f t="shared" si="70"/>
        <v>#DIV/0!</v>
      </c>
      <c r="AA53" s="105">
        <f t="shared" si="58"/>
        <v>0</v>
      </c>
      <c r="AB53" s="108" t="e">
        <f t="shared" si="52"/>
        <v>#DIV/0!</v>
      </c>
      <c r="AC53" s="89">
        <f t="shared" si="1"/>
        <v>0</v>
      </c>
      <c r="AD53" s="92" t="e">
        <f t="shared" si="53"/>
        <v>#DIV/0!</v>
      </c>
      <c r="AE53" s="214"/>
      <c r="AF53" s="54"/>
      <c r="AH53" s="21">
        <f t="shared" si="2"/>
        <v>0</v>
      </c>
    </row>
    <row r="54" spans="1:34" s="289" customFormat="1">
      <c r="A54" s="128">
        <v>6113</v>
      </c>
      <c r="B54" s="277" t="s">
        <v>12</v>
      </c>
      <c r="C54" s="46"/>
      <c r="D54" s="49" t="e">
        <f t="shared" si="59"/>
        <v>#DIV/0!</v>
      </c>
      <c r="E54" s="46"/>
      <c r="F54" s="49" t="e">
        <f t="shared" si="60"/>
        <v>#DIV/0!</v>
      </c>
      <c r="G54" s="46"/>
      <c r="H54" s="49" t="e">
        <f t="shared" si="61"/>
        <v>#DIV/0!</v>
      </c>
      <c r="I54" s="46"/>
      <c r="J54" s="49" t="e">
        <f t="shared" si="62"/>
        <v>#DIV/0!</v>
      </c>
      <c r="K54" s="46"/>
      <c r="L54" s="49" t="e">
        <f t="shared" si="63"/>
        <v>#DIV/0!</v>
      </c>
      <c r="M54" s="46"/>
      <c r="N54" s="49" t="e">
        <f t="shared" si="64"/>
        <v>#DIV/0!</v>
      </c>
      <c r="O54" s="46"/>
      <c r="P54" s="49" t="e">
        <f t="shared" si="65"/>
        <v>#DIV/0!</v>
      </c>
      <c r="Q54" s="46"/>
      <c r="R54" s="49" t="e">
        <f t="shared" si="66"/>
        <v>#DIV/0!</v>
      </c>
      <c r="S54" s="46"/>
      <c r="T54" s="49" t="e">
        <f t="shared" si="67"/>
        <v>#DIV/0!</v>
      </c>
      <c r="U54" s="46"/>
      <c r="V54" s="49" t="e">
        <f t="shared" si="68"/>
        <v>#DIV/0!</v>
      </c>
      <c r="W54" s="46"/>
      <c r="X54" s="49" t="e">
        <f t="shared" si="69"/>
        <v>#DIV/0!</v>
      </c>
      <c r="Y54" s="46"/>
      <c r="Z54" s="49" t="e">
        <f t="shared" si="70"/>
        <v>#DIV/0!</v>
      </c>
      <c r="AA54" s="105">
        <f t="shared" si="58"/>
        <v>0</v>
      </c>
      <c r="AB54" s="108" t="e">
        <f t="shared" si="52"/>
        <v>#DIV/0!</v>
      </c>
      <c r="AC54" s="89">
        <f t="shared" si="1"/>
        <v>0</v>
      </c>
      <c r="AD54" s="92" t="e">
        <f t="shared" si="53"/>
        <v>#DIV/0!</v>
      </c>
      <c r="AE54" s="214"/>
      <c r="AF54" s="54"/>
      <c r="AH54" s="21">
        <f t="shared" si="2"/>
        <v>0</v>
      </c>
    </row>
    <row r="55" spans="1:34" s="289" customFormat="1">
      <c r="A55" s="128">
        <v>6114</v>
      </c>
      <c r="B55" s="128" t="s">
        <v>88</v>
      </c>
      <c r="C55" s="55"/>
      <c r="D55" s="49" t="e">
        <f t="shared" si="59"/>
        <v>#DIV/0!</v>
      </c>
      <c r="E55" s="55"/>
      <c r="F55" s="49" t="e">
        <f t="shared" si="60"/>
        <v>#DIV/0!</v>
      </c>
      <c r="G55" s="55"/>
      <c r="H55" s="49" t="e">
        <f t="shared" si="61"/>
        <v>#DIV/0!</v>
      </c>
      <c r="I55" s="55"/>
      <c r="J55" s="49" t="e">
        <f t="shared" si="62"/>
        <v>#DIV/0!</v>
      </c>
      <c r="K55" s="55"/>
      <c r="L55" s="49" t="e">
        <f t="shared" si="63"/>
        <v>#DIV/0!</v>
      </c>
      <c r="M55" s="55"/>
      <c r="N55" s="49" t="e">
        <f t="shared" si="64"/>
        <v>#DIV/0!</v>
      </c>
      <c r="O55" s="55"/>
      <c r="P55" s="49" t="e">
        <f t="shared" si="65"/>
        <v>#DIV/0!</v>
      </c>
      <c r="Q55" s="55"/>
      <c r="R55" s="49" t="e">
        <f t="shared" si="66"/>
        <v>#DIV/0!</v>
      </c>
      <c r="S55" s="55"/>
      <c r="T55" s="49" t="e">
        <f t="shared" si="67"/>
        <v>#DIV/0!</v>
      </c>
      <c r="U55" s="55"/>
      <c r="V55" s="49" t="e">
        <f t="shared" si="68"/>
        <v>#DIV/0!</v>
      </c>
      <c r="W55" s="55"/>
      <c r="X55" s="49" t="e">
        <f t="shared" si="69"/>
        <v>#DIV/0!</v>
      </c>
      <c r="Y55" s="55"/>
      <c r="Z55" s="49" t="e">
        <f t="shared" si="70"/>
        <v>#DIV/0!</v>
      </c>
      <c r="AA55" s="105">
        <f t="shared" si="58"/>
        <v>0</v>
      </c>
      <c r="AB55" s="108" t="e">
        <f t="shared" si="52"/>
        <v>#DIV/0!</v>
      </c>
      <c r="AC55" s="89">
        <f t="shared" si="1"/>
        <v>0</v>
      </c>
      <c r="AD55" s="92" t="e">
        <f t="shared" si="53"/>
        <v>#DIV/0!</v>
      </c>
      <c r="AE55" s="214"/>
      <c r="AF55" s="54"/>
      <c r="AH55" s="21">
        <f t="shared" si="2"/>
        <v>0</v>
      </c>
    </row>
    <row r="56" spans="1:34" s="289" customFormat="1">
      <c r="A56" s="128">
        <v>6115</v>
      </c>
      <c r="B56" s="128" t="s">
        <v>13</v>
      </c>
      <c r="C56" s="55"/>
      <c r="D56" s="49" t="e">
        <f t="shared" si="59"/>
        <v>#DIV/0!</v>
      </c>
      <c r="E56" s="55"/>
      <c r="F56" s="49" t="e">
        <f t="shared" si="60"/>
        <v>#DIV/0!</v>
      </c>
      <c r="G56" s="55"/>
      <c r="H56" s="49" t="e">
        <f t="shared" si="61"/>
        <v>#DIV/0!</v>
      </c>
      <c r="I56" s="55"/>
      <c r="J56" s="49" t="e">
        <f t="shared" si="62"/>
        <v>#DIV/0!</v>
      </c>
      <c r="K56" s="55"/>
      <c r="L56" s="49" t="e">
        <f t="shared" si="63"/>
        <v>#DIV/0!</v>
      </c>
      <c r="M56" s="55"/>
      <c r="N56" s="49" t="e">
        <f t="shared" si="64"/>
        <v>#DIV/0!</v>
      </c>
      <c r="O56" s="55"/>
      <c r="P56" s="49" t="e">
        <f t="shared" si="65"/>
        <v>#DIV/0!</v>
      </c>
      <c r="Q56" s="55"/>
      <c r="R56" s="49" t="e">
        <f t="shared" si="66"/>
        <v>#DIV/0!</v>
      </c>
      <c r="S56" s="55"/>
      <c r="T56" s="49" t="e">
        <f t="shared" si="67"/>
        <v>#DIV/0!</v>
      </c>
      <c r="U56" s="55"/>
      <c r="V56" s="49" t="e">
        <f t="shared" si="68"/>
        <v>#DIV/0!</v>
      </c>
      <c r="W56" s="55"/>
      <c r="X56" s="49" t="e">
        <f t="shared" si="69"/>
        <v>#DIV/0!</v>
      </c>
      <c r="Y56" s="55"/>
      <c r="Z56" s="49" t="e">
        <f t="shared" si="70"/>
        <v>#DIV/0!</v>
      </c>
      <c r="AA56" s="105">
        <f t="shared" si="58"/>
        <v>0</v>
      </c>
      <c r="AB56" s="108" t="e">
        <f t="shared" si="52"/>
        <v>#DIV/0!</v>
      </c>
      <c r="AC56" s="89">
        <f t="shared" si="1"/>
        <v>0</v>
      </c>
      <c r="AD56" s="92" t="e">
        <f t="shared" si="53"/>
        <v>#DIV/0!</v>
      </c>
      <c r="AE56" s="214"/>
      <c r="AF56" s="54"/>
      <c r="AH56" s="21">
        <f t="shared" si="2"/>
        <v>0</v>
      </c>
    </row>
    <row r="57" spans="1:34" s="289" customFormat="1">
      <c r="A57" s="128">
        <v>6116</v>
      </c>
      <c r="B57" s="277" t="s">
        <v>14</v>
      </c>
      <c r="C57" s="55"/>
      <c r="D57" s="49" t="e">
        <f t="shared" si="59"/>
        <v>#DIV/0!</v>
      </c>
      <c r="E57" s="55"/>
      <c r="F57" s="49" t="e">
        <f t="shared" si="60"/>
        <v>#DIV/0!</v>
      </c>
      <c r="G57" s="55"/>
      <c r="H57" s="49" t="e">
        <f t="shared" si="61"/>
        <v>#DIV/0!</v>
      </c>
      <c r="I57" s="55"/>
      <c r="J57" s="49" t="e">
        <f t="shared" si="62"/>
        <v>#DIV/0!</v>
      </c>
      <c r="K57" s="55"/>
      <c r="L57" s="49" t="e">
        <f t="shared" si="63"/>
        <v>#DIV/0!</v>
      </c>
      <c r="M57" s="55"/>
      <c r="N57" s="49" t="e">
        <f t="shared" si="64"/>
        <v>#DIV/0!</v>
      </c>
      <c r="O57" s="55"/>
      <c r="P57" s="49" t="e">
        <f t="shared" si="65"/>
        <v>#DIV/0!</v>
      </c>
      <c r="Q57" s="55"/>
      <c r="R57" s="49" t="e">
        <f t="shared" si="66"/>
        <v>#DIV/0!</v>
      </c>
      <c r="S57" s="55"/>
      <c r="T57" s="49" t="e">
        <f t="shared" si="67"/>
        <v>#DIV/0!</v>
      </c>
      <c r="U57" s="55"/>
      <c r="V57" s="49" t="e">
        <f t="shared" si="68"/>
        <v>#DIV/0!</v>
      </c>
      <c r="W57" s="55"/>
      <c r="X57" s="49" t="e">
        <f t="shared" si="69"/>
        <v>#DIV/0!</v>
      </c>
      <c r="Y57" s="55"/>
      <c r="Z57" s="49" t="e">
        <f t="shared" si="70"/>
        <v>#DIV/0!</v>
      </c>
      <c r="AA57" s="105">
        <f t="shared" si="58"/>
        <v>0</v>
      </c>
      <c r="AB57" s="108" t="e">
        <f t="shared" si="52"/>
        <v>#DIV/0!</v>
      </c>
      <c r="AC57" s="89">
        <f t="shared" si="1"/>
        <v>0</v>
      </c>
      <c r="AD57" s="92" t="e">
        <f t="shared" si="53"/>
        <v>#DIV/0!</v>
      </c>
      <c r="AE57" s="214"/>
      <c r="AF57" s="54"/>
      <c r="AH57" s="21">
        <f t="shared" si="2"/>
        <v>0</v>
      </c>
    </row>
    <row r="58" spans="1:34" s="289" customFormat="1">
      <c r="A58" s="128">
        <v>6117</v>
      </c>
      <c r="B58" s="128" t="s">
        <v>15</v>
      </c>
      <c r="C58" s="46"/>
      <c r="D58" s="49" t="e">
        <f t="shared" si="59"/>
        <v>#DIV/0!</v>
      </c>
      <c r="E58" s="46"/>
      <c r="F58" s="49" t="e">
        <f t="shared" si="60"/>
        <v>#DIV/0!</v>
      </c>
      <c r="G58" s="46"/>
      <c r="H58" s="49" t="e">
        <f t="shared" si="61"/>
        <v>#DIV/0!</v>
      </c>
      <c r="I58" s="46"/>
      <c r="J58" s="49" t="e">
        <f t="shared" si="62"/>
        <v>#DIV/0!</v>
      </c>
      <c r="K58" s="46"/>
      <c r="L58" s="49" t="e">
        <f t="shared" si="63"/>
        <v>#DIV/0!</v>
      </c>
      <c r="M58" s="46"/>
      <c r="N58" s="49" t="e">
        <f t="shared" si="64"/>
        <v>#DIV/0!</v>
      </c>
      <c r="O58" s="46"/>
      <c r="P58" s="49" t="e">
        <f t="shared" si="65"/>
        <v>#DIV/0!</v>
      </c>
      <c r="Q58" s="46"/>
      <c r="R58" s="195" t="e">
        <f t="shared" si="66"/>
        <v>#DIV/0!</v>
      </c>
      <c r="S58" s="46"/>
      <c r="T58" s="195" t="e">
        <f t="shared" si="67"/>
        <v>#DIV/0!</v>
      </c>
      <c r="U58" s="46"/>
      <c r="V58" s="195" t="e">
        <f t="shared" si="68"/>
        <v>#DIV/0!</v>
      </c>
      <c r="W58" s="46"/>
      <c r="X58" s="196" t="e">
        <f t="shared" si="69"/>
        <v>#DIV/0!</v>
      </c>
      <c r="Y58" s="46"/>
      <c r="Z58" s="195" t="e">
        <f t="shared" si="70"/>
        <v>#DIV/0!</v>
      </c>
      <c r="AA58" s="105">
        <f t="shared" si="58"/>
        <v>0</v>
      </c>
      <c r="AB58" s="108" t="e">
        <f t="shared" si="52"/>
        <v>#DIV/0!</v>
      </c>
      <c r="AC58" s="89">
        <f t="shared" si="1"/>
        <v>0</v>
      </c>
      <c r="AD58" s="92" t="e">
        <f t="shared" si="53"/>
        <v>#DIV/0!</v>
      </c>
      <c r="AE58" s="216"/>
      <c r="AF58" s="54"/>
      <c r="AH58" s="21">
        <f t="shared" si="2"/>
        <v>0</v>
      </c>
    </row>
    <row r="59" spans="1:34" s="289" customFormat="1">
      <c r="A59" s="128">
        <v>6118</v>
      </c>
      <c r="B59" s="277" t="s">
        <v>16</v>
      </c>
      <c r="C59" s="55"/>
      <c r="D59" s="49" t="e">
        <f t="shared" si="59"/>
        <v>#DIV/0!</v>
      </c>
      <c r="E59" s="55"/>
      <c r="F59" s="49" t="e">
        <f t="shared" si="60"/>
        <v>#DIV/0!</v>
      </c>
      <c r="G59" s="55"/>
      <c r="H59" s="49" t="e">
        <f t="shared" si="61"/>
        <v>#DIV/0!</v>
      </c>
      <c r="I59" s="55"/>
      <c r="J59" s="49" t="e">
        <f t="shared" si="62"/>
        <v>#DIV/0!</v>
      </c>
      <c r="K59" s="55"/>
      <c r="L59" s="49" t="e">
        <f t="shared" si="63"/>
        <v>#DIV/0!</v>
      </c>
      <c r="M59" s="55"/>
      <c r="N59" s="49" t="e">
        <f t="shared" si="64"/>
        <v>#DIV/0!</v>
      </c>
      <c r="O59" s="55"/>
      <c r="P59" s="49" t="e">
        <f t="shared" si="65"/>
        <v>#DIV/0!</v>
      </c>
      <c r="Q59" s="55"/>
      <c r="R59" s="49" t="e">
        <f t="shared" si="66"/>
        <v>#DIV/0!</v>
      </c>
      <c r="S59" s="55"/>
      <c r="T59" s="49" t="e">
        <f t="shared" si="67"/>
        <v>#DIV/0!</v>
      </c>
      <c r="U59" s="55"/>
      <c r="V59" s="49" t="e">
        <f t="shared" si="68"/>
        <v>#DIV/0!</v>
      </c>
      <c r="W59" s="55"/>
      <c r="X59" s="49" t="e">
        <f t="shared" si="69"/>
        <v>#DIV/0!</v>
      </c>
      <c r="Y59" s="55"/>
      <c r="Z59" s="49" t="e">
        <f t="shared" si="70"/>
        <v>#DIV/0!</v>
      </c>
      <c r="AA59" s="105">
        <f t="shared" si="58"/>
        <v>0</v>
      </c>
      <c r="AB59" s="108" t="e">
        <f t="shared" si="52"/>
        <v>#DIV/0!</v>
      </c>
      <c r="AC59" s="89">
        <f t="shared" si="1"/>
        <v>0</v>
      </c>
      <c r="AD59" s="92" t="e">
        <f t="shared" si="53"/>
        <v>#DIV/0!</v>
      </c>
      <c r="AE59" s="214"/>
      <c r="AF59" s="54"/>
      <c r="AH59" s="21">
        <f t="shared" si="2"/>
        <v>0</v>
      </c>
    </row>
    <row r="60" spans="1:34" s="289" customFormat="1">
      <c r="A60" s="128">
        <v>6119</v>
      </c>
      <c r="B60" s="128" t="s">
        <v>17</v>
      </c>
      <c r="C60" s="46"/>
      <c r="D60" s="49" t="e">
        <f t="shared" si="59"/>
        <v>#DIV/0!</v>
      </c>
      <c r="E60" s="46"/>
      <c r="F60" s="49" t="e">
        <f t="shared" si="60"/>
        <v>#DIV/0!</v>
      </c>
      <c r="G60" s="46"/>
      <c r="H60" s="49" t="e">
        <f t="shared" si="61"/>
        <v>#DIV/0!</v>
      </c>
      <c r="I60" s="46"/>
      <c r="J60" s="49" t="e">
        <f t="shared" si="62"/>
        <v>#DIV/0!</v>
      </c>
      <c r="K60" s="46"/>
      <c r="L60" s="49" t="e">
        <f t="shared" si="63"/>
        <v>#DIV/0!</v>
      </c>
      <c r="M60" s="46"/>
      <c r="N60" s="49" t="e">
        <f t="shared" si="64"/>
        <v>#DIV/0!</v>
      </c>
      <c r="O60" s="46"/>
      <c r="P60" s="49" t="e">
        <f t="shared" si="65"/>
        <v>#DIV/0!</v>
      </c>
      <c r="Q60" s="46"/>
      <c r="R60" s="49" t="e">
        <f t="shared" si="66"/>
        <v>#DIV/0!</v>
      </c>
      <c r="S60" s="46"/>
      <c r="T60" s="49" t="e">
        <f t="shared" si="67"/>
        <v>#DIV/0!</v>
      </c>
      <c r="U60" s="46"/>
      <c r="V60" s="49" t="e">
        <f t="shared" si="68"/>
        <v>#DIV/0!</v>
      </c>
      <c r="W60" s="46"/>
      <c r="X60" s="49" t="e">
        <f t="shared" si="69"/>
        <v>#DIV/0!</v>
      </c>
      <c r="Y60" s="46"/>
      <c r="Z60" s="49" t="e">
        <f t="shared" si="70"/>
        <v>#DIV/0!</v>
      </c>
      <c r="AA60" s="105">
        <f t="shared" si="58"/>
        <v>0</v>
      </c>
      <c r="AB60" s="108" t="e">
        <f t="shared" si="52"/>
        <v>#DIV/0!</v>
      </c>
      <c r="AC60" s="89">
        <f t="shared" si="1"/>
        <v>0</v>
      </c>
      <c r="AD60" s="92" t="e">
        <f t="shared" si="53"/>
        <v>#DIV/0!</v>
      </c>
      <c r="AE60" s="214"/>
      <c r="AF60" s="54"/>
      <c r="AG60" s="5"/>
      <c r="AH60" s="21">
        <f t="shared" si="2"/>
        <v>0</v>
      </c>
    </row>
    <row r="61" spans="1:34" s="289" customFormat="1">
      <c r="A61" s="128">
        <v>6120</v>
      </c>
      <c r="B61" s="128" t="s">
        <v>18</v>
      </c>
      <c r="C61" s="46"/>
      <c r="D61" s="49" t="e">
        <f t="shared" ref="D61:D66" si="71">C61/C$12</f>
        <v>#DIV/0!</v>
      </c>
      <c r="E61" s="46"/>
      <c r="F61" s="49" t="e">
        <f t="shared" ref="F61:F66" si="72">E61/E$12</f>
        <v>#DIV/0!</v>
      </c>
      <c r="G61" s="46"/>
      <c r="H61" s="49" t="e">
        <f t="shared" ref="H61:H66" si="73">G61/G$12</f>
        <v>#DIV/0!</v>
      </c>
      <c r="I61" s="46"/>
      <c r="J61" s="49" t="e">
        <f t="shared" ref="J61:J66" si="74">I61/I$12</f>
        <v>#DIV/0!</v>
      </c>
      <c r="K61" s="46"/>
      <c r="L61" s="49" t="e">
        <f t="shared" ref="L61:L66" si="75">K61/K$12</f>
        <v>#DIV/0!</v>
      </c>
      <c r="M61" s="46"/>
      <c r="N61" s="49" t="e">
        <f t="shared" ref="N61:N69" si="76">M61/M$12</f>
        <v>#DIV/0!</v>
      </c>
      <c r="O61" s="46"/>
      <c r="P61" s="49" t="e">
        <f t="shared" ref="P61:P69" si="77">O61/O$12</f>
        <v>#DIV/0!</v>
      </c>
      <c r="Q61" s="46"/>
      <c r="R61" s="49" t="e">
        <f t="shared" ref="R61:R66" si="78">Q61/Q$12</f>
        <v>#DIV/0!</v>
      </c>
      <c r="S61" s="46"/>
      <c r="T61" s="49" t="e">
        <f t="shared" ref="T61:T66" si="79">S61/S$12</f>
        <v>#DIV/0!</v>
      </c>
      <c r="U61" s="46"/>
      <c r="V61" s="49" t="e">
        <f t="shared" ref="V61:V66" si="80">U61/U$12</f>
        <v>#DIV/0!</v>
      </c>
      <c r="W61" s="46"/>
      <c r="X61" s="49" t="e">
        <f t="shared" ref="X61:X66" si="81">W61/W$12</f>
        <v>#DIV/0!</v>
      </c>
      <c r="Y61" s="46"/>
      <c r="Z61" s="49" t="e">
        <f t="shared" ref="Z61:Z66" si="82">Y61/Y$12</f>
        <v>#DIV/0!</v>
      </c>
      <c r="AA61" s="105">
        <f t="shared" si="58"/>
        <v>0</v>
      </c>
      <c r="AB61" s="108" t="e">
        <f t="shared" si="52"/>
        <v>#DIV/0!</v>
      </c>
      <c r="AC61" s="89">
        <f t="shared" si="1"/>
        <v>0</v>
      </c>
      <c r="AD61" s="92" t="e">
        <f t="shared" si="53"/>
        <v>#DIV/0!</v>
      </c>
      <c r="AE61" s="214"/>
      <c r="AF61" s="54"/>
      <c r="AH61" s="21">
        <f t="shared" si="2"/>
        <v>0</v>
      </c>
    </row>
    <row r="62" spans="1:34" s="289" customFormat="1">
      <c r="A62" s="128">
        <v>6121</v>
      </c>
      <c r="B62" s="2" t="s">
        <v>19</v>
      </c>
      <c r="C62" s="46"/>
      <c r="D62" s="49" t="e">
        <f t="shared" si="71"/>
        <v>#DIV/0!</v>
      </c>
      <c r="E62" s="46"/>
      <c r="F62" s="49" t="e">
        <f t="shared" si="72"/>
        <v>#DIV/0!</v>
      </c>
      <c r="G62" s="46"/>
      <c r="H62" s="49" t="e">
        <f t="shared" si="73"/>
        <v>#DIV/0!</v>
      </c>
      <c r="I62" s="46"/>
      <c r="J62" s="49" t="e">
        <f t="shared" si="74"/>
        <v>#DIV/0!</v>
      </c>
      <c r="K62" s="46"/>
      <c r="L62" s="49" t="e">
        <f t="shared" si="75"/>
        <v>#DIV/0!</v>
      </c>
      <c r="M62" s="46"/>
      <c r="N62" s="49" t="e">
        <f t="shared" si="76"/>
        <v>#DIV/0!</v>
      </c>
      <c r="O62" s="46"/>
      <c r="P62" s="49" t="e">
        <f t="shared" si="77"/>
        <v>#DIV/0!</v>
      </c>
      <c r="Q62" s="46"/>
      <c r="R62" s="49" t="e">
        <f t="shared" si="78"/>
        <v>#DIV/0!</v>
      </c>
      <c r="S62" s="46"/>
      <c r="T62" s="49" t="e">
        <f t="shared" si="79"/>
        <v>#DIV/0!</v>
      </c>
      <c r="U62" s="46"/>
      <c r="V62" s="49" t="e">
        <f t="shared" si="80"/>
        <v>#DIV/0!</v>
      </c>
      <c r="W62" s="46"/>
      <c r="X62" s="49" t="e">
        <f t="shared" si="81"/>
        <v>#DIV/0!</v>
      </c>
      <c r="Y62" s="46"/>
      <c r="Z62" s="49" t="e">
        <f t="shared" si="82"/>
        <v>#DIV/0!</v>
      </c>
      <c r="AA62" s="105">
        <f t="shared" si="58"/>
        <v>0</v>
      </c>
      <c r="AB62" s="108" t="e">
        <f t="shared" si="52"/>
        <v>#DIV/0!</v>
      </c>
      <c r="AC62" s="89">
        <f t="shared" si="1"/>
        <v>0</v>
      </c>
      <c r="AD62" s="92" t="e">
        <f t="shared" si="53"/>
        <v>#DIV/0!</v>
      </c>
      <c r="AE62" s="214"/>
      <c r="AF62" s="54"/>
      <c r="AH62" s="21">
        <f t="shared" si="2"/>
        <v>0</v>
      </c>
    </row>
    <row r="63" spans="1:34" s="289" customFormat="1">
      <c r="A63" s="2">
        <v>6122</v>
      </c>
      <c r="B63" s="2" t="s">
        <v>20</v>
      </c>
      <c r="C63" s="46"/>
      <c r="D63" s="49" t="e">
        <f t="shared" si="71"/>
        <v>#DIV/0!</v>
      </c>
      <c r="E63" s="46"/>
      <c r="F63" s="49" t="e">
        <f t="shared" si="72"/>
        <v>#DIV/0!</v>
      </c>
      <c r="G63" s="46"/>
      <c r="H63" s="49" t="e">
        <f t="shared" si="73"/>
        <v>#DIV/0!</v>
      </c>
      <c r="I63" s="46"/>
      <c r="J63" s="49" t="e">
        <f t="shared" si="74"/>
        <v>#DIV/0!</v>
      </c>
      <c r="K63" s="46"/>
      <c r="L63" s="49" t="e">
        <f t="shared" si="75"/>
        <v>#DIV/0!</v>
      </c>
      <c r="M63" s="46"/>
      <c r="N63" s="49" t="e">
        <f t="shared" si="76"/>
        <v>#DIV/0!</v>
      </c>
      <c r="O63" s="46"/>
      <c r="P63" s="49" t="e">
        <f t="shared" si="77"/>
        <v>#DIV/0!</v>
      </c>
      <c r="Q63" s="46"/>
      <c r="R63" s="49" t="e">
        <f t="shared" si="78"/>
        <v>#DIV/0!</v>
      </c>
      <c r="S63" s="46"/>
      <c r="T63" s="49" t="e">
        <f t="shared" si="79"/>
        <v>#DIV/0!</v>
      </c>
      <c r="U63" s="46"/>
      <c r="V63" s="49" t="e">
        <f t="shared" si="80"/>
        <v>#DIV/0!</v>
      </c>
      <c r="W63" s="46"/>
      <c r="X63" s="49" t="e">
        <f t="shared" si="81"/>
        <v>#DIV/0!</v>
      </c>
      <c r="Y63" s="46"/>
      <c r="Z63" s="49" t="e">
        <f t="shared" si="82"/>
        <v>#DIV/0!</v>
      </c>
      <c r="AA63" s="105">
        <f t="shared" si="58"/>
        <v>0</v>
      </c>
      <c r="AB63" s="108" t="e">
        <f t="shared" si="52"/>
        <v>#DIV/0!</v>
      </c>
      <c r="AC63" s="89">
        <f t="shared" si="1"/>
        <v>0</v>
      </c>
      <c r="AD63" s="92" t="e">
        <f t="shared" si="53"/>
        <v>#DIV/0!</v>
      </c>
      <c r="AE63" s="214"/>
      <c r="AF63" s="54"/>
      <c r="AH63" s="21">
        <f t="shared" si="2"/>
        <v>0</v>
      </c>
    </row>
    <row r="64" spans="1:34" s="289" customFormat="1">
      <c r="A64" s="2">
        <v>6123</v>
      </c>
      <c r="B64" s="2" t="s">
        <v>21</v>
      </c>
      <c r="C64" s="46"/>
      <c r="D64" s="49" t="e">
        <f t="shared" si="71"/>
        <v>#DIV/0!</v>
      </c>
      <c r="E64" s="46"/>
      <c r="F64" s="49" t="e">
        <f t="shared" si="72"/>
        <v>#DIV/0!</v>
      </c>
      <c r="G64" s="46"/>
      <c r="H64" s="49" t="e">
        <f t="shared" si="73"/>
        <v>#DIV/0!</v>
      </c>
      <c r="I64" s="46"/>
      <c r="J64" s="49" t="e">
        <f t="shared" si="74"/>
        <v>#DIV/0!</v>
      </c>
      <c r="K64" s="46"/>
      <c r="L64" s="49" t="e">
        <f t="shared" si="75"/>
        <v>#DIV/0!</v>
      </c>
      <c r="M64" s="46"/>
      <c r="N64" s="49" t="e">
        <f t="shared" si="76"/>
        <v>#DIV/0!</v>
      </c>
      <c r="O64" s="46"/>
      <c r="P64" s="49" t="e">
        <f t="shared" si="77"/>
        <v>#DIV/0!</v>
      </c>
      <c r="Q64" s="46"/>
      <c r="R64" s="49" t="e">
        <f t="shared" si="78"/>
        <v>#DIV/0!</v>
      </c>
      <c r="S64" s="46"/>
      <c r="T64" s="49" t="e">
        <f t="shared" si="79"/>
        <v>#DIV/0!</v>
      </c>
      <c r="U64" s="46"/>
      <c r="V64" s="49" t="e">
        <f t="shared" si="80"/>
        <v>#DIV/0!</v>
      </c>
      <c r="W64" s="46"/>
      <c r="X64" s="49" t="e">
        <f t="shared" si="81"/>
        <v>#DIV/0!</v>
      </c>
      <c r="Y64" s="46"/>
      <c r="Z64" s="49" t="e">
        <f t="shared" si="82"/>
        <v>#DIV/0!</v>
      </c>
      <c r="AA64" s="105">
        <f t="shared" si="58"/>
        <v>0</v>
      </c>
      <c r="AB64" s="108" t="e">
        <f t="shared" si="52"/>
        <v>#DIV/0!</v>
      </c>
      <c r="AC64" s="89">
        <f t="shared" si="1"/>
        <v>0</v>
      </c>
      <c r="AD64" s="92" t="e">
        <f t="shared" si="53"/>
        <v>#DIV/0!</v>
      </c>
      <c r="AE64" s="214"/>
      <c r="AF64" s="54"/>
      <c r="AH64" s="21">
        <f t="shared" si="2"/>
        <v>0</v>
      </c>
    </row>
    <row r="65" spans="1:34" s="289" customFormat="1">
      <c r="A65" s="128">
        <v>6124</v>
      </c>
      <c r="B65" s="2" t="s">
        <v>22</v>
      </c>
      <c r="C65" s="46"/>
      <c r="D65" s="49" t="e">
        <f t="shared" si="71"/>
        <v>#DIV/0!</v>
      </c>
      <c r="E65" s="46"/>
      <c r="F65" s="49" t="e">
        <f t="shared" si="72"/>
        <v>#DIV/0!</v>
      </c>
      <c r="G65" s="46"/>
      <c r="H65" s="49" t="e">
        <f t="shared" si="73"/>
        <v>#DIV/0!</v>
      </c>
      <c r="I65" s="46"/>
      <c r="J65" s="49" t="e">
        <f t="shared" si="74"/>
        <v>#DIV/0!</v>
      </c>
      <c r="K65" s="46"/>
      <c r="L65" s="49" t="e">
        <f t="shared" si="75"/>
        <v>#DIV/0!</v>
      </c>
      <c r="M65" s="46"/>
      <c r="N65" s="49" t="e">
        <f t="shared" si="76"/>
        <v>#DIV/0!</v>
      </c>
      <c r="O65" s="46"/>
      <c r="P65" s="49" t="e">
        <f t="shared" si="77"/>
        <v>#DIV/0!</v>
      </c>
      <c r="Q65" s="46"/>
      <c r="R65" s="49" t="e">
        <f t="shared" si="78"/>
        <v>#DIV/0!</v>
      </c>
      <c r="S65" s="46"/>
      <c r="T65" s="49" t="e">
        <f t="shared" si="79"/>
        <v>#DIV/0!</v>
      </c>
      <c r="U65" s="46"/>
      <c r="V65" s="49" t="e">
        <f t="shared" si="80"/>
        <v>#DIV/0!</v>
      </c>
      <c r="W65" s="46"/>
      <c r="X65" s="49" t="e">
        <f t="shared" si="81"/>
        <v>#DIV/0!</v>
      </c>
      <c r="Y65" s="46"/>
      <c r="Z65" s="49" t="e">
        <f t="shared" si="82"/>
        <v>#DIV/0!</v>
      </c>
      <c r="AA65" s="105">
        <f t="shared" si="58"/>
        <v>0</v>
      </c>
      <c r="AB65" s="108" t="e">
        <f t="shared" si="52"/>
        <v>#DIV/0!</v>
      </c>
      <c r="AC65" s="89">
        <f t="shared" si="1"/>
        <v>0</v>
      </c>
      <c r="AD65" s="92" t="e">
        <f t="shared" si="53"/>
        <v>#DIV/0!</v>
      </c>
      <c r="AE65" s="334">
        <f>127750*2%/12</f>
        <v>212.91666666666666</v>
      </c>
      <c r="AF65" s="54" t="s">
        <v>239</v>
      </c>
      <c r="AH65" s="21">
        <f t="shared" si="2"/>
        <v>0</v>
      </c>
    </row>
    <row r="66" spans="1:34" s="289" customFormat="1">
      <c r="A66" s="128">
        <v>6125</v>
      </c>
      <c r="B66" s="2" t="s">
        <v>78</v>
      </c>
      <c r="C66" s="46"/>
      <c r="D66" s="49" t="e">
        <f t="shared" si="71"/>
        <v>#DIV/0!</v>
      </c>
      <c r="E66" s="46"/>
      <c r="F66" s="49" t="e">
        <f t="shared" si="72"/>
        <v>#DIV/0!</v>
      </c>
      <c r="G66" s="46"/>
      <c r="H66" s="49" t="e">
        <f t="shared" si="73"/>
        <v>#DIV/0!</v>
      </c>
      <c r="I66" s="46"/>
      <c r="J66" s="49" t="e">
        <f t="shared" si="74"/>
        <v>#DIV/0!</v>
      </c>
      <c r="K66" s="46"/>
      <c r="L66" s="49" t="e">
        <f t="shared" si="75"/>
        <v>#DIV/0!</v>
      </c>
      <c r="M66" s="46"/>
      <c r="N66" s="49" t="e">
        <f t="shared" si="76"/>
        <v>#DIV/0!</v>
      </c>
      <c r="O66" s="46"/>
      <c r="P66" s="49" t="e">
        <f t="shared" si="77"/>
        <v>#DIV/0!</v>
      </c>
      <c r="Q66" s="46"/>
      <c r="R66" s="49" t="e">
        <f t="shared" si="78"/>
        <v>#DIV/0!</v>
      </c>
      <c r="S66" s="46"/>
      <c r="T66" s="49" t="e">
        <f t="shared" si="79"/>
        <v>#DIV/0!</v>
      </c>
      <c r="U66" s="46"/>
      <c r="V66" s="49" t="e">
        <f t="shared" si="80"/>
        <v>#DIV/0!</v>
      </c>
      <c r="W66" s="46"/>
      <c r="X66" s="49" t="e">
        <f t="shared" si="81"/>
        <v>#DIV/0!</v>
      </c>
      <c r="Y66" s="46"/>
      <c r="Z66" s="49" t="e">
        <f t="shared" si="82"/>
        <v>#DIV/0!</v>
      </c>
      <c r="AA66" s="105">
        <f t="shared" si="58"/>
        <v>0</v>
      </c>
      <c r="AB66" s="108" t="e">
        <f t="shared" si="52"/>
        <v>#DIV/0!</v>
      </c>
      <c r="AC66" s="89">
        <f t="shared" si="1"/>
        <v>0</v>
      </c>
      <c r="AD66" s="92" t="e">
        <f t="shared" si="53"/>
        <v>#DIV/0!</v>
      </c>
      <c r="AE66" s="214"/>
      <c r="AF66" s="54"/>
      <c r="AH66" s="21">
        <f t="shared" si="2"/>
        <v>0</v>
      </c>
    </row>
    <row r="67" spans="1:34" s="289" customFormat="1">
      <c r="A67" s="2">
        <v>6126</v>
      </c>
      <c r="B67" s="2" t="s">
        <v>113</v>
      </c>
      <c r="C67" s="46"/>
      <c r="D67" s="49"/>
      <c r="E67" s="46"/>
      <c r="F67" s="49"/>
      <c r="G67" s="46"/>
      <c r="H67" s="49"/>
      <c r="I67" s="46"/>
      <c r="J67" s="49"/>
      <c r="K67" s="46"/>
      <c r="L67" s="49"/>
      <c r="M67" s="46"/>
      <c r="N67" s="49" t="e">
        <f t="shared" si="76"/>
        <v>#DIV/0!</v>
      </c>
      <c r="O67" s="46"/>
      <c r="P67" s="49" t="e">
        <f t="shared" si="77"/>
        <v>#DIV/0!</v>
      </c>
      <c r="Q67" s="46"/>
      <c r="R67" s="49"/>
      <c r="S67" s="46"/>
      <c r="T67" s="49"/>
      <c r="U67" s="46"/>
      <c r="V67" s="49"/>
      <c r="W67" s="46"/>
      <c r="X67" s="49"/>
      <c r="Y67" s="46"/>
      <c r="Z67" s="49"/>
      <c r="AA67" s="105">
        <f t="shared" si="58"/>
        <v>0</v>
      </c>
      <c r="AB67" s="108" t="e">
        <f t="shared" si="52"/>
        <v>#DIV/0!</v>
      </c>
      <c r="AC67" s="89">
        <f t="shared" si="1"/>
        <v>0</v>
      </c>
      <c r="AD67" s="92" t="e">
        <f t="shared" si="53"/>
        <v>#DIV/0!</v>
      </c>
      <c r="AE67" s="214"/>
      <c r="AF67" s="54"/>
      <c r="AH67" s="21">
        <f t="shared" si="2"/>
        <v>0</v>
      </c>
    </row>
    <row r="68" spans="1:34" s="289" customFormat="1">
      <c r="A68" s="128">
        <v>6127</v>
      </c>
      <c r="B68" s="2" t="s">
        <v>76</v>
      </c>
      <c r="C68" s="55"/>
      <c r="D68" s="49" t="e">
        <f>C68/C$12</f>
        <v>#DIV/0!</v>
      </c>
      <c r="E68" s="55"/>
      <c r="F68" s="49" t="e">
        <f t="shared" ref="F68:F69" si="83">E68/E$12</f>
        <v>#DIV/0!</v>
      </c>
      <c r="G68" s="55"/>
      <c r="H68" s="49" t="e">
        <f t="shared" ref="H68:H69" si="84">G68/G$12</f>
        <v>#DIV/0!</v>
      </c>
      <c r="I68" s="55"/>
      <c r="J68" s="49" t="e">
        <f t="shared" ref="J68:J69" si="85">I68/I$12</f>
        <v>#DIV/0!</v>
      </c>
      <c r="K68" s="55"/>
      <c r="L68" s="49" t="e">
        <f t="shared" ref="L68:L69" si="86">K68/K$12</f>
        <v>#DIV/0!</v>
      </c>
      <c r="M68" s="55"/>
      <c r="N68" s="49" t="e">
        <f t="shared" si="76"/>
        <v>#DIV/0!</v>
      </c>
      <c r="O68" s="55"/>
      <c r="P68" s="49" t="e">
        <f t="shared" si="77"/>
        <v>#DIV/0!</v>
      </c>
      <c r="Q68" s="55"/>
      <c r="R68" s="49" t="e">
        <f t="shared" ref="R68:R69" si="87">Q68/Q$12</f>
        <v>#DIV/0!</v>
      </c>
      <c r="S68" s="55"/>
      <c r="T68" s="49" t="e">
        <f t="shared" ref="T68:Z73" si="88">S68/S$12</f>
        <v>#DIV/0!</v>
      </c>
      <c r="U68" s="55"/>
      <c r="V68" s="49" t="e">
        <f t="shared" ref="V68:V69" si="89">U68/U$12</f>
        <v>#DIV/0!</v>
      </c>
      <c r="W68" s="55"/>
      <c r="X68" s="49" t="e">
        <f t="shared" ref="X68:X69" si="90">W68/W$12</f>
        <v>#DIV/0!</v>
      </c>
      <c r="Y68" s="55"/>
      <c r="Z68" s="49" t="e">
        <f t="shared" ref="Z68:Z69" si="91">Y68/Y$12</f>
        <v>#DIV/0!</v>
      </c>
      <c r="AA68" s="105">
        <f t="shared" si="58"/>
        <v>0</v>
      </c>
      <c r="AB68" s="108" t="e">
        <f t="shared" si="52"/>
        <v>#DIV/0!</v>
      </c>
      <c r="AC68" s="89">
        <f t="shared" si="1"/>
        <v>0</v>
      </c>
      <c r="AD68" s="92" t="e">
        <f t="shared" si="53"/>
        <v>#DIV/0!</v>
      </c>
      <c r="AE68" s="214"/>
      <c r="AF68" s="54"/>
      <c r="AH68" s="21">
        <f t="shared" si="2"/>
        <v>0</v>
      </c>
    </row>
    <row r="69" spans="1:34" s="289" customFormat="1">
      <c r="A69" s="2">
        <v>6129</v>
      </c>
      <c r="B69" s="2" t="s">
        <v>206</v>
      </c>
      <c r="C69" s="280"/>
      <c r="D69" s="108" t="e">
        <f t="shared" ref="D69:R75" si="92">C69/C$12</f>
        <v>#DIV/0!</v>
      </c>
      <c r="E69" s="280"/>
      <c r="F69" s="108" t="e">
        <f t="shared" si="83"/>
        <v>#DIV/0!</v>
      </c>
      <c r="G69" s="280"/>
      <c r="H69" s="108" t="e">
        <f t="shared" si="84"/>
        <v>#DIV/0!</v>
      </c>
      <c r="I69" s="280"/>
      <c r="J69" s="108" t="e">
        <f t="shared" si="85"/>
        <v>#DIV/0!</v>
      </c>
      <c r="K69" s="280"/>
      <c r="L69" s="108" t="e">
        <f t="shared" si="86"/>
        <v>#DIV/0!</v>
      </c>
      <c r="M69" s="280"/>
      <c r="N69" s="49" t="e">
        <f t="shared" si="76"/>
        <v>#DIV/0!</v>
      </c>
      <c r="O69" s="280"/>
      <c r="P69" s="49" t="e">
        <f t="shared" si="77"/>
        <v>#DIV/0!</v>
      </c>
      <c r="Q69" s="280"/>
      <c r="R69" s="108" t="e">
        <f t="shared" si="87"/>
        <v>#DIV/0!</v>
      </c>
      <c r="S69" s="280"/>
      <c r="T69" s="108" t="e">
        <f t="shared" si="88"/>
        <v>#DIV/0!</v>
      </c>
      <c r="U69" s="280"/>
      <c r="V69" s="108" t="e">
        <f t="shared" si="89"/>
        <v>#DIV/0!</v>
      </c>
      <c r="W69" s="280"/>
      <c r="X69" s="144" t="e">
        <f t="shared" si="90"/>
        <v>#DIV/0!</v>
      </c>
      <c r="Y69" s="280"/>
      <c r="Z69" s="49" t="e">
        <f t="shared" si="91"/>
        <v>#DIV/0!</v>
      </c>
      <c r="AA69" s="105">
        <f t="shared" si="58"/>
        <v>0</v>
      </c>
      <c r="AB69" s="108" t="e">
        <f t="shared" si="52"/>
        <v>#DIV/0!</v>
      </c>
      <c r="AC69" s="89">
        <f t="shared" si="1"/>
        <v>0</v>
      </c>
      <c r="AD69" s="92" t="e">
        <f t="shared" si="53"/>
        <v>#DIV/0!</v>
      </c>
      <c r="AE69" s="214"/>
      <c r="AF69" s="54"/>
      <c r="AH69" s="21">
        <f t="shared" si="2"/>
        <v>0</v>
      </c>
    </row>
    <row r="70" spans="1:34" s="289" customFormat="1">
      <c r="A70" s="2">
        <v>6131</v>
      </c>
      <c r="B70" s="2" t="s">
        <v>224</v>
      </c>
      <c r="C70" s="331"/>
      <c r="D70" s="108" t="e">
        <f t="shared" si="92"/>
        <v>#DIV/0!</v>
      </c>
      <c r="E70" s="331"/>
      <c r="F70" s="108" t="e">
        <f t="shared" si="92"/>
        <v>#DIV/0!</v>
      </c>
      <c r="G70" s="331"/>
      <c r="H70" s="108" t="e">
        <f t="shared" si="92"/>
        <v>#DIV/0!</v>
      </c>
      <c r="I70" s="331"/>
      <c r="J70" s="108" t="e">
        <f t="shared" si="92"/>
        <v>#DIV/0!</v>
      </c>
      <c r="K70" s="331"/>
      <c r="L70" s="108" t="e">
        <f t="shared" si="92"/>
        <v>#DIV/0!</v>
      </c>
      <c r="M70" s="331"/>
      <c r="N70" s="108" t="e">
        <f t="shared" si="92"/>
        <v>#DIV/0!</v>
      </c>
      <c r="O70" s="331"/>
      <c r="P70" s="108" t="e">
        <f t="shared" si="92"/>
        <v>#DIV/0!</v>
      </c>
      <c r="Q70" s="331"/>
      <c r="R70" s="108" t="e">
        <f t="shared" si="92"/>
        <v>#DIV/0!</v>
      </c>
      <c r="S70" s="331"/>
      <c r="T70" s="108" t="e">
        <f t="shared" si="88"/>
        <v>#DIV/0!</v>
      </c>
      <c r="U70" s="331"/>
      <c r="V70" s="108" t="e">
        <f t="shared" si="88"/>
        <v>#DIV/0!</v>
      </c>
      <c r="W70" s="331"/>
      <c r="X70" s="108" t="e">
        <f t="shared" si="88"/>
        <v>#DIV/0!</v>
      </c>
      <c r="Y70" s="331"/>
      <c r="Z70" s="108" t="e">
        <f t="shared" si="88"/>
        <v>#DIV/0!</v>
      </c>
      <c r="AA70" s="105">
        <f t="shared" si="58"/>
        <v>0</v>
      </c>
      <c r="AB70" s="108" t="e">
        <f t="shared" ref="AB70:AD75" si="93">AA70/AA$12</f>
        <v>#DIV/0!</v>
      </c>
      <c r="AC70" s="89">
        <f t="shared" ref="AC70:AC142" si="94">AA70/12</f>
        <v>0</v>
      </c>
      <c r="AD70" s="108" t="e">
        <f t="shared" si="93"/>
        <v>#DIV/0!</v>
      </c>
      <c r="AE70" s="214"/>
      <c r="AF70" s="54"/>
      <c r="AH70" s="21"/>
    </row>
    <row r="71" spans="1:34" s="289" customFormat="1">
      <c r="A71" s="2">
        <v>6132</v>
      </c>
      <c r="B71" s="2" t="s">
        <v>225</v>
      </c>
      <c r="C71" s="331"/>
      <c r="D71" s="108" t="e">
        <f t="shared" si="92"/>
        <v>#DIV/0!</v>
      </c>
      <c r="E71" s="331"/>
      <c r="F71" s="108" t="e">
        <f t="shared" si="92"/>
        <v>#DIV/0!</v>
      </c>
      <c r="G71" s="331"/>
      <c r="H71" s="108" t="e">
        <f t="shared" si="92"/>
        <v>#DIV/0!</v>
      </c>
      <c r="I71" s="331"/>
      <c r="J71" s="108" t="e">
        <f t="shared" si="92"/>
        <v>#DIV/0!</v>
      </c>
      <c r="K71" s="331"/>
      <c r="L71" s="108" t="e">
        <f t="shared" si="92"/>
        <v>#DIV/0!</v>
      </c>
      <c r="M71" s="331"/>
      <c r="N71" s="108" t="e">
        <f t="shared" si="92"/>
        <v>#DIV/0!</v>
      </c>
      <c r="O71" s="331"/>
      <c r="P71" s="108" t="e">
        <f t="shared" si="92"/>
        <v>#DIV/0!</v>
      </c>
      <c r="Q71" s="331"/>
      <c r="R71" s="108" t="e">
        <f t="shared" si="92"/>
        <v>#DIV/0!</v>
      </c>
      <c r="S71" s="331"/>
      <c r="T71" s="108" t="e">
        <f t="shared" si="88"/>
        <v>#DIV/0!</v>
      </c>
      <c r="U71" s="331"/>
      <c r="V71" s="108" t="e">
        <f t="shared" si="88"/>
        <v>#DIV/0!</v>
      </c>
      <c r="W71" s="331"/>
      <c r="X71" s="108" t="e">
        <f t="shared" si="88"/>
        <v>#DIV/0!</v>
      </c>
      <c r="Y71" s="331"/>
      <c r="Z71" s="108" t="e">
        <f t="shared" si="88"/>
        <v>#DIV/0!</v>
      </c>
      <c r="AA71" s="105">
        <f t="shared" si="58"/>
        <v>0</v>
      </c>
      <c r="AB71" s="108" t="e">
        <f t="shared" si="93"/>
        <v>#DIV/0!</v>
      </c>
      <c r="AC71" s="89">
        <f t="shared" si="94"/>
        <v>0</v>
      </c>
      <c r="AD71" s="108" t="e">
        <f t="shared" si="93"/>
        <v>#DIV/0!</v>
      </c>
      <c r="AE71" s="214"/>
      <c r="AF71" s="54"/>
      <c r="AH71" s="21"/>
    </row>
    <row r="72" spans="1:34" s="289" customFormat="1">
      <c r="A72" s="2">
        <v>6133</v>
      </c>
      <c r="B72" s="2" t="s">
        <v>226</v>
      </c>
      <c r="C72" s="331"/>
      <c r="D72" s="108" t="e">
        <f t="shared" si="92"/>
        <v>#DIV/0!</v>
      </c>
      <c r="E72" s="331"/>
      <c r="F72" s="108" t="e">
        <f t="shared" si="92"/>
        <v>#DIV/0!</v>
      </c>
      <c r="G72" s="331"/>
      <c r="H72" s="108" t="e">
        <f t="shared" si="92"/>
        <v>#DIV/0!</v>
      </c>
      <c r="I72" s="331"/>
      <c r="J72" s="108" t="e">
        <f t="shared" si="92"/>
        <v>#DIV/0!</v>
      </c>
      <c r="K72" s="331"/>
      <c r="L72" s="108" t="e">
        <f t="shared" si="92"/>
        <v>#DIV/0!</v>
      </c>
      <c r="M72" s="331"/>
      <c r="N72" s="108" t="e">
        <f t="shared" si="92"/>
        <v>#DIV/0!</v>
      </c>
      <c r="O72" s="331"/>
      <c r="P72" s="108" t="e">
        <f t="shared" si="92"/>
        <v>#DIV/0!</v>
      </c>
      <c r="Q72" s="331"/>
      <c r="R72" s="108" t="e">
        <f t="shared" si="92"/>
        <v>#DIV/0!</v>
      </c>
      <c r="S72" s="331"/>
      <c r="T72" s="108" t="e">
        <f t="shared" si="88"/>
        <v>#DIV/0!</v>
      </c>
      <c r="U72" s="331"/>
      <c r="V72" s="108" t="e">
        <f t="shared" si="88"/>
        <v>#DIV/0!</v>
      </c>
      <c r="W72" s="331"/>
      <c r="X72" s="108" t="e">
        <f t="shared" si="88"/>
        <v>#DIV/0!</v>
      </c>
      <c r="Y72" s="331"/>
      <c r="Z72" s="108" t="e">
        <f t="shared" si="88"/>
        <v>#DIV/0!</v>
      </c>
      <c r="AA72" s="105">
        <f t="shared" si="58"/>
        <v>0</v>
      </c>
      <c r="AB72" s="108" t="e">
        <f t="shared" si="93"/>
        <v>#DIV/0!</v>
      </c>
      <c r="AC72" s="89">
        <f t="shared" si="94"/>
        <v>0</v>
      </c>
      <c r="AD72" s="108" t="e">
        <f t="shared" si="93"/>
        <v>#DIV/0!</v>
      </c>
      <c r="AE72" s="214"/>
      <c r="AF72" s="54"/>
      <c r="AH72" s="21"/>
    </row>
    <row r="73" spans="1:34" s="289" customFormat="1">
      <c r="A73" s="2">
        <v>6134</v>
      </c>
      <c r="B73" s="2" t="s">
        <v>227</v>
      </c>
      <c r="C73" s="331"/>
      <c r="D73" s="108" t="e">
        <f t="shared" si="92"/>
        <v>#DIV/0!</v>
      </c>
      <c r="E73" s="331"/>
      <c r="F73" s="108" t="e">
        <f t="shared" si="92"/>
        <v>#DIV/0!</v>
      </c>
      <c r="G73" s="331"/>
      <c r="H73" s="108" t="e">
        <f t="shared" si="92"/>
        <v>#DIV/0!</v>
      </c>
      <c r="I73" s="331"/>
      <c r="J73" s="108" t="e">
        <f t="shared" si="92"/>
        <v>#DIV/0!</v>
      </c>
      <c r="K73" s="331"/>
      <c r="L73" s="108" t="e">
        <f t="shared" si="92"/>
        <v>#DIV/0!</v>
      </c>
      <c r="M73" s="331"/>
      <c r="N73" s="108" t="e">
        <f t="shared" si="92"/>
        <v>#DIV/0!</v>
      </c>
      <c r="O73" s="331"/>
      <c r="P73" s="108" t="e">
        <f t="shared" si="92"/>
        <v>#DIV/0!</v>
      </c>
      <c r="Q73" s="331"/>
      <c r="R73" s="108" t="e">
        <f t="shared" si="92"/>
        <v>#DIV/0!</v>
      </c>
      <c r="S73" s="331"/>
      <c r="T73" s="108" t="e">
        <f t="shared" si="88"/>
        <v>#DIV/0!</v>
      </c>
      <c r="U73" s="331"/>
      <c r="V73" s="108" t="e">
        <f t="shared" si="88"/>
        <v>#DIV/0!</v>
      </c>
      <c r="W73" s="331"/>
      <c r="X73" s="108" t="e">
        <f t="shared" si="88"/>
        <v>#DIV/0!</v>
      </c>
      <c r="Y73" s="331"/>
      <c r="Z73" s="108" t="e">
        <f t="shared" si="88"/>
        <v>#DIV/0!</v>
      </c>
      <c r="AA73" s="105">
        <f t="shared" si="58"/>
        <v>0</v>
      </c>
      <c r="AB73" s="108" t="e">
        <f t="shared" si="93"/>
        <v>#DIV/0!</v>
      </c>
      <c r="AC73" s="89">
        <f t="shared" si="94"/>
        <v>0</v>
      </c>
      <c r="AD73" s="108" t="e">
        <f t="shared" si="93"/>
        <v>#DIV/0!</v>
      </c>
      <c r="AE73" s="214"/>
      <c r="AF73" s="54"/>
      <c r="AH73" s="21"/>
    </row>
    <row r="74" spans="1:34" s="289" customFormat="1">
      <c r="A74" s="2">
        <v>6135</v>
      </c>
      <c r="B74" s="2" t="s">
        <v>228</v>
      </c>
      <c r="C74" s="331"/>
      <c r="D74" s="108" t="e">
        <f t="shared" si="92"/>
        <v>#DIV/0!</v>
      </c>
      <c r="E74" s="331"/>
      <c r="F74" s="108"/>
      <c r="G74" s="331"/>
      <c r="H74" s="108"/>
      <c r="I74" s="331"/>
      <c r="J74" s="108"/>
      <c r="K74" s="331"/>
      <c r="L74" s="108"/>
      <c r="M74" s="331"/>
      <c r="N74" s="108"/>
      <c r="O74" s="331"/>
      <c r="P74" s="108"/>
      <c r="Q74" s="331"/>
      <c r="R74" s="108"/>
      <c r="S74" s="331"/>
      <c r="T74" s="108"/>
      <c r="U74" s="331"/>
      <c r="V74" s="108"/>
      <c r="W74" s="331"/>
      <c r="X74" s="108"/>
      <c r="Y74" s="331"/>
      <c r="Z74" s="108"/>
      <c r="AA74" s="105">
        <f t="shared" si="58"/>
        <v>0</v>
      </c>
      <c r="AB74" s="108"/>
      <c r="AC74" s="89"/>
      <c r="AD74" s="108"/>
      <c r="AE74" s="214"/>
      <c r="AF74" s="54"/>
      <c r="AH74" s="21"/>
    </row>
    <row r="75" spans="1:34" s="289" customFormat="1">
      <c r="A75" s="2">
        <v>6136</v>
      </c>
      <c r="B75" s="2" t="s">
        <v>249</v>
      </c>
      <c r="C75" s="331"/>
      <c r="D75" s="108" t="e">
        <f t="shared" si="92"/>
        <v>#DIV/0!</v>
      </c>
      <c r="E75" s="331"/>
      <c r="F75" s="108" t="e">
        <f t="shared" ref="F75:Z75" si="95">E75/E$12</f>
        <v>#DIV/0!</v>
      </c>
      <c r="G75" s="331"/>
      <c r="H75" s="108" t="e">
        <f t="shared" si="95"/>
        <v>#DIV/0!</v>
      </c>
      <c r="I75" s="331"/>
      <c r="J75" s="108" t="e">
        <f t="shared" si="95"/>
        <v>#DIV/0!</v>
      </c>
      <c r="K75" s="331"/>
      <c r="L75" s="108" t="e">
        <f t="shared" si="95"/>
        <v>#DIV/0!</v>
      </c>
      <c r="M75" s="331"/>
      <c r="N75" s="108" t="e">
        <f t="shared" si="95"/>
        <v>#DIV/0!</v>
      </c>
      <c r="O75" s="331"/>
      <c r="P75" s="108" t="e">
        <f t="shared" si="95"/>
        <v>#DIV/0!</v>
      </c>
      <c r="Q75" s="331"/>
      <c r="R75" s="108" t="e">
        <f t="shared" si="95"/>
        <v>#DIV/0!</v>
      </c>
      <c r="S75" s="331"/>
      <c r="T75" s="108" t="e">
        <f t="shared" si="95"/>
        <v>#DIV/0!</v>
      </c>
      <c r="U75" s="331"/>
      <c r="V75" s="108" t="e">
        <f t="shared" si="95"/>
        <v>#DIV/0!</v>
      </c>
      <c r="W75" s="331"/>
      <c r="X75" s="108" t="e">
        <f t="shared" si="95"/>
        <v>#DIV/0!</v>
      </c>
      <c r="Y75" s="331"/>
      <c r="Z75" s="108" t="e">
        <f t="shared" si="95"/>
        <v>#DIV/0!</v>
      </c>
      <c r="AA75" s="105">
        <f t="shared" si="58"/>
        <v>0</v>
      </c>
      <c r="AB75" s="108" t="e">
        <f t="shared" si="93"/>
        <v>#DIV/0!</v>
      </c>
      <c r="AC75" s="89">
        <f t="shared" si="94"/>
        <v>0</v>
      </c>
      <c r="AD75" s="108" t="e">
        <f t="shared" si="93"/>
        <v>#DIV/0!</v>
      </c>
      <c r="AE75" s="214"/>
      <c r="AF75" s="54"/>
      <c r="AH75" s="21"/>
    </row>
    <row r="76" spans="1:34" s="289" customFormat="1" ht="15.75" thickBot="1">
      <c r="A76" s="4">
        <v>6199</v>
      </c>
      <c r="B76" s="4" t="s">
        <v>23</v>
      </c>
      <c r="C76" s="22">
        <f>SUM(C42:C75)</f>
        <v>0</v>
      </c>
      <c r="D76" s="71" t="e">
        <f>C76/C12</f>
        <v>#DIV/0!</v>
      </c>
      <c r="E76" s="22">
        <f>SUM(E42:E75)</f>
        <v>0</v>
      </c>
      <c r="F76" s="71" t="e">
        <f>E76/E12</f>
        <v>#DIV/0!</v>
      </c>
      <c r="G76" s="22">
        <f>SUM(G42:G75)</f>
        <v>0</v>
      </c>
      <c r="H76" s="71" t="e">
        <f>G76/G12</f>
        <v>#DIV/0!</v>
      </c>
      <c r="I76" s="22">
        <f>SUM(I42:I75)</f>
        <v>0</v>
      </c>
      <c r="J76" s="71" t="e">
        <f>I76/I12</f>
        <v>#DIV/0!</v>
      </c>
      <c r="K76" s="22">
        <f>SUM(K42:K75)</f>
        <v>0</v>
      </c>
      <c r="L76" s="71" t="e">
        <f>K76/K12</f>
        <v>#DIV/0!</v>
      </c>
      <c r="M76" s="22">
        <f>SUM(M42:M75)</f>
        <v>0</v>
      </c>
      <c r="N76" s="71" t="e">
        <f>M76/M12</f>
        <v>#DIV/0!</v>
      </c>
      <c r="O76" s="22">
        <f>SUM(O42:O75)</f>
        <v>0</v>
      </c>
      <c r="P76" s="71" t="e">
        <f>O76/O12</f>
        <v>#DIV/0!</v>
      </c>
      <c r="Q76" s="22">
        <f>SUM(Q42:Q75)</f>
        <v>0</v>
      </c>
      <c r="R76" s="71" t="e">
        <f>Q76/Q12</f>
        <v>#DIV/0!</v>
      </c>
      <c r="S76" s="22">
        <f>SUM(S42:S75)</f>
        <v>0</v>
      </c>
      <c r="T76" s="71" t="e">
        <f t="shared" ref="T76:Z122" si="96">S76/S$12</f>
        <v>#DIV/0!</v>
      </c>
      <c r="U76" s="22">
        <f>SUM(U42:U75)</f>
        <v>0</v>
      </c>
      <c r="V76" s="71" t="e">
        <f>U76/U12</f>
        <v>#DIV/0!</v>
      </c>
      <c r="W76" s="22">
        <f>SUM(W42:W75)</f>
        <v>0</v>
      </c>
      <c r="X76" s="71" t="e">
        <f>W76/W12</f>
        <v>#DIV/0!</v>
      </c>
      <c r="Y76" s="22">
        <f>SUM(Y42:Y75)</f>
        <v>0</v>
      </c>
      <c r="Z76" s="71" t="e">
        <f t="shared" ref="Z76:Z121" si="97">Y76/Y$12</f>
        <v>#DIV/0!</v>
      </c>
      <c r="AA76" s="22">
        <f>SUM(AA42:AA75)</f>
        <v>0</v>
      </c>
      <c r="AB76" s="110" t="e">
        <f t="shared" si="52"/>
        <v>#DIV/0!</v>
      </c>
      <c r="AC76" s="22">
        <f t="shared" si="94"/>
        <v>0</v>
      </c>
      <c r="AD76" s="94" t="e">
        <f t="shared" si="53"/>
        <v>#DIV/0!</v>
      </c>
      <c r="AE76" s="218"/>
      <c r="AF76" s="219"/>
      <c r="AG76" s="209"/>
      <c r="AH76" s="21">
        <f t="shared" ref="AH76:AH147" si="98">Q76*5.09</f>
        <v>0</v>
      </c>
    </row>
    <row r="77" spans="1:34" s="289" customFormat="1" ht="15.75" thickTop="1">
      <c r="A77" s="2">
        <v>6201</v>
      </c>
      <c r="B77" s="2" t="s">
        <v>24</v>
      </c>
      <c r="C77" s="37"/>
      <c r="D77" s="49" t="e">
        <f t="shared" ref="D77:D92" si="99">C77/C$12</f>
        <v>#DIV/0!</v>
      </c>
      <c r="E77" s="37"/>
      <c r="F77" s="49" t="e">
        <f t="shared" ref="F77:F92" si="100">E77/E$12</f>
        <v>#DIV/0!</v>
      </c>
      <c r="G77" s="37"/>
      <c r="H77" s="49" t="e">
        <f t="shared" ref="H77:H92" si="101">G77/G$12</f>
        <v>#DIV/0!</v>
      </c>
      <c r="I77" s="37"/>
      <c r="J77" s="49" t="e">
        <f t="shared" ref="J77:J92" si="102">I77/I$12</f>
        <v>#DIV/0!</v>
      </c>
      <c r="K77" s="37"/>
      <c r="L77" s="49" t="e">
        <f t="shared" ref="L77:L92" si="103">K77/K$12</f>
        <v>#DIV/0!</v>
      </c>
      <c r="M77" s="37"/>
      <c r="N77" s="49" t="e">
        <f t="shared" ref="N77:N92" si="104">M77/M$12</f>
        <v>#DIV/0!</v>
      </c>
      <c r="O77" s="37"/>
      <c r="P77" s="49" t="e">
        <f t="shared" ref="P77:P92" si="105">O77/O$12</f>
        <v>#DIV/0!</v>
      </c>
      <c r="Q77" s="37"/>
      <c r="R77" s="49" t="e">
        <f t="shared" ref="R77:R92" si="106">Q77/Q$12</f>
        <v>#DIV/0!</v>
      </c>
      <c r="S77" s="37"/>
      <c r="T77" s="49" t="e">
        <f t="shared" si="96"/>
        <v>#DIV/0!</v>
      </c>
      <c r="U77" s="37"/>
      <c r="V77" s="49" t="e">
        <f t="shared" ref="V77:V92" si="107">U77/U$12</f>
        <v>#DIV/0!</v>
      </c>
      <c r="W77" s="37"/>
      <c r="X77" s="49" t="e">
        <f t="shared" ref="X77:X92" si="108">W77/W$12</f>
        <v>#DIV/0!</v>
      </c>
      <c r="Y77" s="37"/>
      <c r="Z77" s="49" t="e">
        <f t="shared" si="97"/>
        <v>#DIV/0!</v>
      </c>
      <c r="AA77" s="105">
        <f t="shared" ref="AA77:AA92" si="109">C77+E77+G77+I77+K77+M77+O77+Q77+S77+U77+W77+Y77</f>
        <v>0</v>
      </c>
      <c r="AB77" s="108" t="e">
        <f t="shared" si="52"/>
        <v>#DIV/0!</v>
      </c>
      <c r="AC77" s="89">
        <f t="shared" si="94"/>
        <v>0</v>
      </c>
      <c r="AD77" s="92" t="e">
        <f t="shared" si="53"/>
        <v>#DIV/0!</v>
      </c>
      <c r="AE77" s="214"/>
      <c r="AF77" s="54"/>
      <c r="AH77" s="21">
        <f t="shared" si="98"/>
        <v>0</v>
      </c>
    </row>
    <row r="78" spans="1:34" s="289" customFormat="1">
      <c r="A78" s="2">
        <v>6202</v>
      </c>
      <c r="B78" s="2" t="s">
        <v>25</v>
      </c>
      <c r="C78" s="37"/>
      <c r="D78" s="49" t="e">
        <f t="shared" si="99"/>
        <v>#DIV/0!</v>
      </c>
      <c r="E78" s="37"/>
      <c r="F78" s="49" t="e">
        <f t="shared" si="100"/>
        <v>#DIV/0!</v>
      </c>
      <c r="G78" s="37"/>
      <c r="H78" s="49" t="e">
        <f t="shared" si="101"/>
        <v>#DIV/0!</v>
      </c>
      <c r="I78" s="37"/>
      <c r="J78" s="49" t="e">
        <f t="shared" si="102"/>
        <v>#DIV/0!</v>
      </c>
      <c r="K78" s="37"/>
      <c r="L78" s="49" t="e">
        <f t="shared" si="103"/>
        <v>#DIV/0!</v>
      </c>
      <c r="M78" s="37"/>
      <c r="N78" s="49" t="e">
        <f t="shared" si="104"/>
        <v>#DIV/0!</v>
      </c>
      <c r="O78" s="37"/>
      <c r="P78" s="49" t="e">
        <f t="shared" si="105"/>
        <v>#DIV/0!</v>
      </c>
      <c r="Q78" s="37"/>
      <c r="R78" s="49" t="e">
        <f t="shared" si="106"/>
        <v>#DIV/0!</v>
      </c>
      <c r="S78" s="37"/>
      <c r="T78" s="49" t="e">
        <f t="shared" si="96"/>
        <v>#DIV/0!</v>
      </c>
      <c r="U78" s="37"/>
      <c r="V78" s="49" t="e">
        <f t="shared" si="107"/>
        <v>#DIV/0!</v>
      </c>
      <c r="W78" s="37"/>
      <c r="X78" s="49" t="e">
        <f t="shared" si="108"/>
        <v>#DIV/0!</v>
      </c>
      <c r="Y78" s="37"/>
      <c r="Z78" s="49" t="e">
        <f t="shared" si="97"/>
        <v>#DIV/0!</v>
      </c>
      <c r="AA78" s="105">
        <f t="shared" si="109"/>
        <v>0</v>
      </c>
      <c r="AB78" s="108" t="e">
        <f t="shared" si="52"/>
        <v>#DIV/0!</v>
      </c>
      <c r="AC78" s="89">
        <f t="shared" si="94"/>
        <v>0</v>
      </c>
      <c r="AD78" s="92" t="e">
        <f t="shared" si="53"/>
        <v>#DIV/0!</v>
      </c>
      <c r="AE78" s="214"/>
      <c r="AF78" s="54"/>
      <c r="AH78" s="21">
        <f t="shared" si="98"/>
        <v>0</v>
      </c>
    </row>
    <row r="79" spans="1:34" s="289" customFormat="1">
      <c r="A79" s="2">
        <v>6203</v>
      </c>
      <c r="B79" s="2" t="s">
        <v>26</v>
      </c>
      <c r="C79" s="37"/>
      <c r="D79" s="49" t="e">
        <f t="shared" si="99"/>
        <v>#DIV/0!</v>
      </c>
      <c r="E79" s="37"/>
      <c r="F79" s="49" t="e">
        <f t="shared" si="100"/>
        <v>#DIV/0!</v>
      </c>
      <c r="G79" s="37"/>
      <c r="H79" s="49" t="e">
        <f t="shared" si="101"/>
        <v>#DIV/0!</v>
      </c>
      <c r="I79" s="37"/>
      <c r="J79" s="49" t="e">
        <f t="shared" si="102"/>
        <v>#DIV/0!</v>
      </c>
      <c r="K79" s="37"/>
      <c r="L79" s="49" t="e">
        <f t="shared" si="103"/>
        <v>#DIV/0!</v>
      </c>
      <c r="M79" s="37"/>
      <c r="N79" s="49" t="e">
        <f t="shared" si="104"/>
        <v>#DIV/0!</v>
      </c>
      <c r="O79" s="37"/>
      <c r="P79" s="49" t="e">
        <f t="shared" si="105"/>
        <v>#DIV/0!</v>
      </c>
      <c r="Q79" s="37"/>
      <c r="R79" s="49" t="e">
        <f t="shared" si="106"/>
        <v>#DIV/0!</v>
      </c>
      <c r="S79" s="37"/>
      <c r="T79" s="49" t="e">
        <f t="shared" si="96"/>
        <v>#DIV/0!</v>
      </c>
      <c r="U79" s="37"/>
      <c r="V79" s="49" t="e">
        <f t="shared" si="107"/>
        <v>#DIV/0!</v>
      </c>
      <c r="W79" s="37"/>
      <c r="X79" s="49" t="e">
        <f t="shared" si="108"/>
        <v>#DIV/0!</v>
      </c>
      <c r="Y79" s="37"/>
      <c r="Z79" s="49" t="e">
        <f t="shared" si="97"/>
        <v>#DIV/0!</v>
      </c>
      <c r="AA79" s="105">
        <f t="shared" si="109"/>
        <v>0</v>
      </c>
      <c r="AB79" s="108" t="e">
        <f t="shared" si="52"/>
        <v>#DIV/0!</v>
      </c>
      <c r="AC79" s="89">
        <f t="shared" si="94"/>
        <v>0</v>
      </c>
      <c r="AD79" s="92" t="e">
        <f t="shared" si="53"/>
        <v>#DIV/0!</v>
      </c>
      <c r="AE79" s="214"/>
      <c r="AF79" s="54"/>
      <c r="AH79" s="21">
        <f t="shared" si="98"/>
        <v>0</v>
      </c>
    </row>
    <row r="80" spans="1:34" s="289" customFormat="1">
      <c r="A80" s="2">
        <v>6204</v>
      </c>
      <c r="B80" s="2" t="s">
        <v>27</v>
      </c>
      <c r="C80" s="46"/>
      <c r="D80" s="49" t="e">
        <f t="shared" si="99"/>
        <v>#DIV/0!</v>
      </c>
      <c r="E80" s="46"/>
      <c r="F80" s="49" t="e">
        <f t="shared" si="100"/>
        <v>#DIV/0!</v>
      </c>
      <c r="G80" s="46"/>
      <c r="H80" s="49" t="e">
        <f t="shared" si="101"/>
        <v>#DIV/0!</v>
      </c>
      <c r="I80" s="46"/>
      <c r="J80" s="49" t="e">
        <f t="shared" si="102"/>
        <v>#DIV/0!</v>
      </c>
      <c r="K80" s="46"/>
      <c r="L80" s="49" t="e">
        <f t="shared" si="103"/>
        <v>#DIV/0!</v>
      </c>
      <c r="M80" s="46"/>
      <c r="N80" s="49" t="e">
        <f t="shared" si="104"/>
        <v>#DIV/0!</v>
      </c>
      <c r="O80" s="46"/>
      <c r="P80" s="49" t="e">
        <f t="shared" si="105"/>
        <v>#DIV/0!</v>
      </c>
      <c r="Q80" s="46"/>
      <c r="R80" s="49" t="e">
        <f t="shared" si="106"/>
        <v>#DIV/0!</v>
      </c>
      <c r="S80" s="46"/>
      <c r="T80" s="49" t="e">
        <f t="shared" si="96"/>
        <v>#DIV/0!</v>
      </c>
      <c r="U80" s="46"/>
      <c r="V80" s="49" t="e">
        <f t="shared" si="107"/>
        <v>#DIV/0!</v>
      </c>
      <c r="W80" s="46"/>
      <c r="X80" s="49" t="e">
        <f t="shared" si="108"/>
        <v>#DIV/0!</v>
      </c>
      <c r="Y80" s="46"/>
      <c r="Z80" s="49" t="e">
        <f t="shared" si="97"/>
        <v>#DIV/0!</v>
      </c>
      <c r="AA80" s="105">
        <f t="shared" si="109"/>
        <v>0</v>
      </c>
      <c r="AB80" s="108" t="e">
        <f t="shared" si="52"/>
        <v>#DIV/0!</v>
      </c>
      <c r="AC80" s="89">
        <f t="shared" si="94"/>
        <v>0</v>
      </c>
      <c r="AD80" s="92" t="e">
        <f t="shared" si="53"/>
        <v>#DIV/0!</v>
      </c>
      <c r="AE80" s="214"/>
      <c r="AF80" s="54"/>
      <c r="AH80" s="21">
        <f t="shared" si="98"/>
        <v>0</v>
      </c>
    </row>
    <row r="81" spans="1:34" s="289" customFormat="1">
      <c r="A81" s="2">
        <v>6205</v>
      </c>
      <c r="B81" s="2" t="s">
        <v>28</v>
      </c>
      <c r="C81" s="46"/>
      <c r="D81" s="49" t="e">
        <f t="shared" si="99"/>
        <v>#DIV/0!</v>
      </c>
      <c r="E81" s="46"/>
      <c r="F81" s="49" t="e">
        <f t="shared" si="100"/>
        <v>#DIV/0!</v>
      </c>
      <c r="G81" s="46"/>
      <c r="H81" s="49" t="e">
        <f t="shared" si="101"/>
        <v>#DIV/0!</v>
      </c>
      <c r="I81" s="46"/>
      <c r="J81" s="49" t="e">
        <f t="shared" si="102"/>
        <v>#DIV/0!</v>
      </c>
      <c r="K81" s="46"/>
      <c r="L81" s="49" t="e">
        <f t="shared" si="103"/>
        <v>#DIV/0!</v>
      </c>
      <c r="M81" s="46"/>
      <c r="N81" s="49" t="e">
        <f t="shared" si="104"/>
        <v>#DIV/0!</v>
      </c>
      <c r="O81" s="46"/>
      <c r="P81" s="49" t="e">
        <f t="shared" si="105"/>
        <v>#DIV/0!</v>
      </c>
      <c r="Q81" s="46"/>
      <c r="R81" s="49" t="e">
        <f t="shared" si="106"/>
        <v>#DIV/0!</v>
      </c>
      <c r="S81" s="46"/>
      <c r="T81" s="49" t="e">
        <f t="shared" si="96"/>
        <v>#DIV/0!</v>
      </c>
      <c r="U81" s="46"/>
      <c r="V81" s="49" t="e">
        <f t="shared" si="107"/>
        <v>#DIV/0!</v>
      </c>
      <c r="W81" s="46"/>
      <c r="X81" s="49" t="e">
        <f t="shared" si="108"/>
        <v>#DIV/0!</v>
      </c>
      <c r="Y81" s="46"/>
      <c r="Z81" s="49" t="e">
        <f t="shared" si="97"/>
        <v>#DIV/0!</v>
      </c>
      <c r="AA81" s="105">
        <f t="shared" si="109"/>
        <v>0</v>
      </c>
      <c r="AB81" s="108" t="e">
        <f t="shared" si="52"/>
        <v>#DIV/0!</v>
      </c>
      <c r="AC81" s="89">
        <f t="shared" si="94"/>
        <v>0</v>
      </c>
      <c r="AD81" s="92" t="e">
        <f t="shared" si="53"/>
        <v>#DIV/0!</v>
      </c>
      <c r="AE81" s="214"/>
      <c r="AF81" s="54"/>
      <c r="AH81" s="21">
        <f t="shared" si="98"/>
        <v>0</v>
      </c>
    </row>
    <row r="82" spans="1:34" s="289" customFormat="1">
      <c r="A82" s="2">
        <v>6206</v>
      </c>
      <c r="B82" s="2" t="s">
        <v>193</v>
      </c>
      <c r="C82" s="46"/>
      <c r="D82" s="49" t="e">
        <f t="shared" si="99"/>
        <v>#DIV/0!</v>
      </c>
      <c r="E82" s="46"/>
      <c r="F82" s="49" t="e">
        <f t="shared" si="100"/>
        <v>#DIV/0!</v>
      </c>
      <c r="G82" s="46"/>
      <c r="H82" s="49" t="e">
        <f t="shared" si="101"/>
        <v>#DIV/0!</v>
      </c>
      <c r="I82" s="46"/>
      <c r="J82" s="49" t="e">
        <f t="shared" si="102"/>
        <v>#DIV/0!</v>
      </c>
      <c r="K82" s="46"/>
      <c r="L82" s="49" t="e">
        <f t="shared" si="103"/>
        <v>#DIV/0!</v>
      </c>
      <c r="M82" s="46"/>
      <c r="N82" s="49" t="e">
        <f t="shared" si="104"/>
        <v>#DIV/0!</v>
      </c>
      <c r="O82" s="46"/>
      <c r="P82" s="49" t="e">
        <f t="shared" si="105"/>
        <v>#DIV/0!</v>
      </c>
      <c r="Q82" s="46"/>
      <c r="R82" s="49" t="e">
        <f t="shared" si="106"/>
        <v>#DIV/0!</v>
      </c>
      <c r="S82" s="46"/>
      <c r="T82" s="49" t="e">
        <f t="shared" si="96"/>
        <v>#DIV/0!</v>
      </c>
      <c r="U82" s="46"/>
      <c r="V82" s="49" t="e">
        <f t="shared" si="107"/>
        <v>#DIV/0!</v>
      </c>
      <c r="W82" s="46"/>
      <c r="X82" s="49" t="e">
        <f t="shared" si="108"/>
        <v>#DIV/0!</v>
      </c>
      <c r="Y82" s="46"/>
      <c r="Z82" s="49" t="e">
        <f t="shared" si="97"/>
        <v>#DIV/0!</v>
      </c>
      <c r="AA82" s="105">
        <f t="shared" si="109"/>
        <v>0</v>
      </c>
      <c r="AB82" s="108" t="e">
        <f t="shared" si="52"/>
        <v>#DIV/0!</v>
      </c>
      <c r="AC82" s="89">
        <f t="shared" si="94"/>
        <v>0</v>
      </c>
      <c r="AD82" s="92" t="e">
        <f t="shared" si="53"/>
        <v>#DIV/0!</v>
      </c>
      <c r="AE82" s="309">
        <f>5*200</f>
        <v>1000</v>
      </c>
      <c r="AF82" s="54"/>
      <c r="AH82" s="21">
        <f t="shared" si="98"/>
        <v>0</v>
      </c>
    </row>
    <row r="83" spans="1:34" s="289" customFormat="1">
      <c r="A83" s="2">
        <v>6207</v>
      </c>
      <c r="B83" s="2" t="s">
        <v>194</v>
      </c>
      <c r="C83" s="46"/>
      <c r="D83" s="49" t="e">
        <f t="shared" si="99"/>
        <v>#DIV/0!</v>
      </c>
      <c r="E83" s="46"/>
      <c r="F83" s="49" t="e">
        <f t="shared" si="100"/>
        <v>#DIV/0!</v>
      </c>
      <c r="G83" s="46"/>
      <c r="H83" s="49" t="e">
        <f t="shared" si="101"/>
        <v>#DIV/0!</v>
      </c>
      <c r="I83" s="46"/>
      <c r="J83" s="49" t="e">
        <f t="shared" si="102"/>
        <v>#DIV/0!</v>
      </c>
      <c r="K83" s="46"/>
      <c r="L83" s="49" t="e">
        <f t="shared" si="103"/>
        <v>#DIV/0!</v>
      </c>
      <c r="M83" s="46"/>
      <c r="N83" s="49" t="e">
        <f t="shared" si="104"/>
        <v>#DIV/0!</v>
      </c>
      <c r="O83" s="46"/>
      <c r="P83" s="49" t="e">
        <f t="shared" si="105"/>
        <v>#DIV/0!</v>
      </c>
      <c r="Q83" s="46"/>
      <c r="R83" s="49" t="e">
        <f t="shared" si="106"/>
        <v>#DIV/0!</v>
      </c>
      <c r="S83" s="46"/>
      <c r="T83" s="49" t="e">
        <f t="shared" si="96"/>
        <v>#DIV/0!</v>
      </c>
      <c r="U83" s="46"/>
      <c r="V83" s="49" t="e">
        <f t="shared" si="107"/>
        <v>#DIV/0!</v>
      </c>
      <c r="W83" s="46"/>
      <c r="X83" s="49" t="e">
        <f t="shared" si="108"/>
        <v>#DIV/0!</v>
      </c>
      <c r="Y83" s="46"/>
      <c r="Z83" s="49" t="e">
        <f t="shared" si="97"/>
        <v>#DIV/0!</v>
      </c>
      <c r="AA83" s="105">
        <f t="shared" si="109"/>
        <v>0</v>
      </c>
      <c r="AB83" s="108" t="e">
        <f t="shared" si="52"/>
        <v>#DIV/0!</v>
      </c>
      <c r="AC83" s="89">
        <f t="shared" si="94"/>
        <v>0</v>
      </c>
      <c r="AD83" s="92" t="e">
        <f t="shared" si="53"/>
        <v>#DIV/0!</v>
      </c>
      <c r="AE83" s="214"/>
      <c r="AF83" s="54"/>
      <c r="AH83" s="21">
        <f t="shared" si="98"/>
        <v>0</v>
      </c>
    </row>
    <row r="84" spans="1:34" s="289" customFormat="1">
      <c r="A84" s="2">
        <v>6208</v>
      </c>
      <c r="B84" s="2" t="s">
        <v>195</v>
      </c>
      <c r="C84" s="46"/>
      <c r="D84" s="49" t="e">
        <f t="shared" si="99"/>
        <v>#DIV/0!</v>
      </c>
      <c r="E84" s="46"/>
      <c r="F84" s="49" t="e">
        <f t="shared" si="100"/>
        <v>#DIV/0!</v>
      </c>
      <c r="G84" s="46"/>
      <c r="H84" s="49" t="e">
        <f t="shared" si="101"/>
        <v>#DIV/0!</v>
      </c>
      <c r="I84" s="46"/>
      <c r="J84" s="49" t="e">
        <f t="shared" si="102"/>
        <v>#DIV/0!</v>
      </c>
      <c r="K84" s="46"/>
      <c r="L84" s="49" t="e">
        <f t="shared" si="103"/>
        <v>#DIV/0!</v>
      </c>
      <c r="M84" s="46"/>
      <c r="N84" s="49" t="e">
        <f t="shared" si="104"/>
        <v>#DIV/0!</v>
      </c>
      <c r="O84" s="46"/>
      <c r="P84" s="49" t="e">
        <f t="shared" si="105"/>
        <v>#DIV/0!</v>
      </c>
      <c r="Q84" s="46"/>
      <c r="R84" s="49" t="e">
        <f t="shared" si="106"/>
        <v>#DIV/0!</v>
      </c>
      <c r="S84" s="46"/>
      <c r="T84" s="49" t="e">
        <f t="shared" si="96"/>
        <v>#DIV/0!</v>
      </c>
      <c r="U84" s="46"/>
      <c r="V84" s="49" t="e">
        <f t="shared" si="107"/>
        <v>#DIV/0!</v>
      </c>
      <c r="W84" s="46"/>
      <c r="X84" s="49" t="e">
        <f t="shared" si="108"/>
        <v>#DIV/0!</v>
      </c>
      <c r="Y84" s="46"/>
      <c r="Z84" s="49" t="e">
        <f t="shared" si="97"/>
        <v>#DIV/0!</v>
      </c>
      <c r="AA84" s="105">
        <f t="shared" si="109"/>
        <v>0</v>
      </c>
      <c r="AB84" s="108" t="e">
        <f t="shared" si="52"/>
        <v>#DIV/0!</v>
      </c>
      <c r="AC84" s="89">
        <f t="shared" si="94"/>
        <v>0</v>
      </c>
      <c r="AD84" s="92" t="e">
        <f t="shared" si="53"/>
        <v>#DIV/0!</v>
      </c>
      <c r="AE84" s="214"/>
      <c r="AF84" s="54"/>
      <c r="AH84" s="21">
        <f t="shared" si="98"/>
        <v>0</v>
      </c>
    </row>
    <row r="85" spans="1:34" s="289" customFormat="1">
      <c r="A85" s="2">
        <v>6209</v>
      </c>
      <c r="B85" s="128" t="s">
        <v>29</v>
      </c>
      <c r="C85" s="46"/>
      <c r="D85" s="49" t="e">
        <f t="shared" si="99"/>
        <v>#DIV/0!</v>
      </c>
      <c r="E85" s="46"/>
      <c r="F85" s="49" t="e">
        <f t="shared" si="100"/>
        <v>#DIV/0!</v>
      </c>
      <c r="G85" s="46"/>
      <c r="H85" s="49" t="e">
        <f t="shared" si="101"/>
        <v>#DIV/0!</v>
      </c>
      <c r="I85" s="46"/>
      <c r="J85" s="49" t="e">
        <f t="shared" si="102"/>
        <v>#DIV/0!</v>
      </c>
      <c r="K85" s="46"/>
      <c r="L85" s="49" t="e">
        <f t="shared" si="103"/>
        <v>#DIV/0!</v>
      </c>
      <c r="M85" s="46"/>
      <c r="N85" s="49" t="e">
        <f t="shared" si="104"/>
        <v>#DIV/0!</v>
      </c>
      <c r="O85" s="46"/>
      <c r="P85" s="49" t="e">
        <f t="shared" si="105"/>
        <v>#DIV/0!</v>
      </c>
      <c r="Q85" s="46"/>
      <c r="R85" s="49" t="e">
        <f t="shared" si="106"/>
        <v>#DIV/0!</v>
      </c>
      <c r="S85" s="46"/>
      <c r="T85" s="49" t="e">
        <f t="shared" si="96"/>
        <v>#DIV/0!</v>
      </c>
      <c r="U85" s="46"/>
      <c r="V85" s="49" t="e">
        <f t="shared" si="107"/>
        <v>#DIV/0!</v>
      </c>
      <c r="W85" s="46"/>
      <c r="X85" s="49" t="e">
        <f t="shared" si="108"/>
        <v>#DIV/0!</v>
      </c>
      <c r="Y85" s="46"/>
      <c r="Z85" s="49" t="e">
        <f t="shared" si="97"/>
        <v>#DIV/0!</v>
      </c>
      <c r="AA85" s="105">
        <f t="shared" si="109"/>
        <v>0</v>
      </c>
      <c r="AB85" s="108" t="e">
        <f t="shared" si="52"/>
        <v>#DIV/0!</v>
      </c>
      <c r="AC85" s="89">
        <f t="shared" si="94"/>
        <v>0</v>
      </c>
      <c r="AD85" s="92" t="e">
        <f t="shared" si="53"/>
        <v>#DIV/0!</v>
      </c>
      <c r="AE85" s="214"/>
      <c r="AF85" s="54"/>
      <c r="AH85" s="21">
        <f t="shared" si="98"/>
        <v>0</v>
      </c>
    </row>
    <row r="86" spans="1:34" s="289" customFormat="1">
      <c r="A86" s="2">
        <v>6210</v>
      </c>
      <c r="B86" s="2" t="s">
        <v>30</v>
      </c>
      <c r="C86" s="46"/>
      <c r="D86" s="49" t="e">
        <f t="shared" si="99"/>
        <v>#DIV/0!</v>
      </c>
      <c r="E86" s="46"/>
      <c r="F86" s="49" t="e">
        <f t="shared" si="100"/>
        <v>#DIV/0!</v>
      </c>
      <c r="G86" s="46"/>
      <c r="H86" s="49" t="e">
        <f t="shared" si="101"/>
        <v>#DIV/0!</v>
      </c>
      <c r="I86" s="46"/>
      <c r="J86" s="49" t="e">
        <f t="shared" si="102"/>
        <v>#DIV/0!</v>
      </c>
      <c r="K86" s="46"/>
      <c r="L86" s="49" t="e">
        <f t="shared" si="103"/>
        <v>#DIV/0!</v>
      </c>
      <c r="M86" s="46"/>
      <c r="N86" s="49" t="e">
        <f t="shared" si="104"/>
        <v>#DIV/0!</v>
      </c>
      <c r="O86" s="46"/>
      <c r="P86" s="49" t="e">
        <f t="shared" si="105"/>
        <v>#DIV/0!</v>
      </c>
      <c r="Q86" s="46"/>
      <c r="R86" s="49" t="e">
        <f t="shared" si="106"/>
        <v>#DIV/0!</v>
      </c>
      <c r="S86" s="46"/>
      <c r="T86" s="49" t="e">
        <f t="shared" si="96"/>
        <v>#DIV/0!</v>
      </c>
      <c r="U86" s="46"/>
      <c r="V86" s="49" t="e">
        <f t="shared" si="107"/>
        <v>#DIV/0!</v>
      </c>
      <c r="W86" s="46"/>
      <c r="X86" s="49" t="e">
        <f t="shared" si="108"/>
        <v>#DIV/0!</v>
      </c>
      <c r="Y86" s="46"/>
      <c r="Z86" s="49" t="e">
        <f t="shared" si="97"/>
        <v>#DIV/0!</v>
      </c>
      <c r="AA86" s="105">
        <f t="shared" si="109"/>
        <v>0</v>
      </c>
      <c r="AB86" s="108" t="e">
        <f t="shared" si="52"/>
        <v>#DIV/0!</v>
      </c>
      <c r="AC86" s="89">
        <f t="shared" si="94"/>
        <v>0</v>
      </c>
      <c r="AD86" s="92" t="e">
        <f t="shared" si="53"/>
        <v>#DIV/0!</v>
      </c>
      <c r="AE86" s="214"/>
      <c r="AF86" s="54"/>
      <c r="AH86" s="21">
        <f t="shared" si="98"/>
        <v>0</v>
      </c>
    </row>
    <row r="87" spans="1:34" s="289" customFormat="1">
      <c r="A87" s="2">
        <v>6211</v>
      </c>
      <c r="B87" s="2" t="s">
        <v>31</v>
      </c>
      <c r="C87" s="46"/>
      <c r="D87" s="49" t="e">
        <f t="shared" si="99"/>
        <v>#DIV/0!</v>
      </c>
      <c r="E87" s="46"/>
      <c r="F87" s="49" t="e">
        <f t="shared" si="100"/>
        <v>#DIV/0!</v>
      </c>
      <c r="G87" s="46"/>
      <c r="H87" s="49" t="e">
        <f t="shared" si="101"/>
        <v>#DIV/0!</v>
      </c>
      <c r="I87" s="46"/>
      <c r="J87" s="49" t="e">
        <f t="shared" si="102"/>
        <v>#DIV/0!</v>
      </c>
      <c r="K87" s="46"/>
      <c r="L87" s="49" t="e">
        <f t="shared" si="103"/>
        <v>#DIV/0!</v>
      </c>
      <c r="M87" s="46"/>
      <c r="N87" s="49" t="e">
        <f t="shared" si="104"/>
        <v>#DIV/0!</v>
      </c>
      <c r="O87" s="46"/>
      <c r="P87" s="49" t="e">
        <f t="shared" si="105"/>
        <v>#DIV/0!</v>
      </c>
      <c r="Q87" s="46"/>
      <c r="R87" s="49" t="e">
        <f t="shared" si="106"/>
        <v>#DIV/0!</v>
      </c>
      <c r="S87" s="46"/>
      <c r="T87" s="49" t="e">
        <f t="shared" si="96"/>
        <v>#DIV/0!</v>
      </c>
      <c r="U87" s="46"/>
      <c r="V87" s="49" t="e">
        <f t="shared" si="107"/>
        <v>#DIV/0!</v>
      </c>
      <c r="W87" s="46"/>
      <c r="X87" s="49" t="e">
        <f t="shared" si="108"/>
        <v>#DIV/0!</v>
      </c>
      <c r="Y87" s="46"/>
      <c r="Z87" s="49" t="e">
        <f t="shared" si="97"/>
        <v>#DIV/0!</v>
      </c>
      <c r="AA87" s="105">
        <f t="shared" si="109"/>
        <v>0</v>
      </c>
      <c r="AB87" s="108" t="e">
        <f t="shared" si="52"/>
        <v>#DIV/0!</v>
      </c>
      <c r="AC87" s="89">
        <f t="shared" si="94"/>
        <v>0</v>
      </c>
      <c r="AD87" s="92" t="e">
        <f t="shared" si="53"/>
        <v>#DIV/0!</v>
      </c>
      <c r="AE87" s="214"/>
      <c r="AF87" s="54"/>
      <c r="AH87" s="21">
        <f t="shared" si="98"/>
        <v>0</v>
      </c>
    </row>
    <row r="88" spans="1:34" s="289" customFormat="1">
      <c r="A88" s="2">
        <v>6212</v>
      </c>
      <c r="B88" s="2" t="s">
        <v>32</v>
      </c>
      <c r="C88" s="55"/>
      <c r="D88" s="49" t="e">
        <f t="shared" si="99"/>
        <v>#DIV/0!</v>
      </c>
      <c r="E88" s="55"/>
      <c r="F88" s="49" t="e">
        <f t="shared" si="100"/>
        <v>#DIV/0!</v>
      </c>
      <c r="G88" s="55"/>
      <c r="H88" s="49" t="e">
        <f t="shared" si="101"/>
        <v>#DIV/0!</v>
      </c>
      <c r="I88" s="55"/>
      <c r="J88" s="49" t="e">
        <f t="shared" si="102"/>
        <v>#DIV/0!</v>
      </c>
      <c r="K88" s="55"/>
      <c r="L88" s="49" t="e">
        <f t="shared" si="103"/>
        <v>#DIV/0!</v>
      </c>
      <c r="M88" s="55"/>
      <c r="N88" s="49" t="e">
        <f t="shared" si="104"/>
        <v>#DIV/0!</v>
      </c>
      <c r="O88" s="55"/>
      <c r="P88" s="49" t="e">
        <f t="shared" si="105"/>
        <v>#DIV/0!</v>
      </c>
      <c r="Q88" s="55"/>
      <c r="R88" s="49" t="e">
        <f t="shared" si="106"/>
        <v>#DIV/0!</v>
      </c>
      <c r="S88" s="55"/>
      <c r="T88" s="49" t="e">
        <f t="shared" si="96"/>
        <v>#DIV/0!</v>
      </c>
      <c r="U88" s="55"/>
      <c r="V88" s="49" t="e">
        <f t="shared" si="107"/>
        <v>#DIV/0!</v>
      </c>
      <c r="W88" s="55"/>
      <c r="X88" s="49" t="e">
        <f t="shared" si="108"/>
        <v>#DIV/0!</v>
      </c>
      <c r="Y88" s="55"/>
      <c r="Z88" s="49" t="e">
        <f t="shared" si="97"/>
        <v>#DIV/0!</v>
      </c>
      <c r="AA88" s="105">
        <f t="shared" si="109"/>
        <v>0</v>
      </c>
      <c r="AB88" s="108" t="e">
        <f t="shared" si="52"/>
        <v>#DIV/0!</v>
      </c>
      <c r="AC88" s="290">
        <f t="shared" si="94"/>
        <v>0</v>
      </c>
      <c r="AD88" s="92" t="e">
        <f t="shared" si="53"/>
        <v>#DIV/0!</v>
      </c>
      <c r="AE88" s="214"/>
      <c r="AF88" s="54"/>
      <c r="AH88" s="21">
        <f t="shared" si="98"/>
        <v>0</v>
      </c>
    </row>
    <row r="89" spans="1:34" s="289" customFormat="1">
      <c r="A89" s="2">
        <v>6213</v>
      </c>
      <c r="B89" s="2" t="s">
        <v>33</v>
      </c>
      <c r="C89" s="55"/>
      <c r="D89" s="49" t="e">
        <f t="shared" si="99"/>
        <v>#DIV/0!</v>
      </c>
      <c r="E89" s="55"/>
      <c r="F89" s="49" t="e">
        <f t="shared" si="100"/>
        <v>#DIV/0!</v>
      </c>
      <c r="G89" s="55"/>
      <c r="H89" s="49" t="e">
        <f t="shared" si="101"/>
        <v>#DIV/0!</v>
      </c>
      <c r="I89" s="55"/>
      <c r="J89" s="49" t="e">
        <f t="shared" si="102"/>
        <v>#DIV/0!</v>
      </c>
      <c r="K89" s="55"/>
      <c r="L89" s="49" t="e">
        <f t="shared" si="103"/>
        <v>#DIV/0!</v>
      </c>
      <c r="M89" s="55"/>
      <c r="N89" s="49" t="e">
        <f t="shared" si="104"/>
        <v>#DIV/0!</v>
      </c>
      <c r="O89" s="55"/>
      <c r="P89" s="49" t="e">
        <f t="shared" si="105"/>
        <v>#DIV/0!</v>
      </c>
      <c r="Q89" s="55"/>
      <c r="R89" s="49" t="e">
        <f t="shared" si="106"/>
        <v>#DIV/0!</v>
      </c>
      <c r="S89" s="55"/>
      <c r="T89" s="49" t="e">
        <f t="shared" si="96"/>
        <v>#DIV/0!</v>
      </c>
      <c r="U89" s="55"/>
      <c r="V89" s="49" t="e">
        <f t="shared" si="107"/>
        <v>#DIV/0!</v>
      </c>
      <c r="W89" s="55"/>
      <c r="X89" s="49" t="e">
        <f t="shared" si="108"/>
        <v>#DIV/0!</v>
      </c>
      <c r="Y89" s="55"/>
      <c r="Z89" s="49" t="e">
        <f t="shared" si="97"/>
        <v>#DIV/0!</v>
      </c>
      <c r="AA89" s="105">
        <f t="shared" si="109"/>
        <v>0</v>
      </c>
      <c r="AB89" s="108" t="e">
        <f t="shared" si="52"/>
        <v>#DIV/0!</v>
      </c>
      <c r="AC89" s="89">
        <f t="shared" si="94"/>
        <v>0</v>
      </c>
      <c r="AD89" s="92" t="e">
        <f t="shared" si="53"/>
        <v>#DIV/0!</v>
      </c>
      <c r="AE89" s="214"/>
      <c r="AF89" s="54"/>
      <c r="AH89" s="21">
        <f t="shared" si="98"/>
        <v>0</v>
      </c>
    </row>
    <row r="90" spans="1:34" s="289" customFormat="1">
      <c r="A90" s="128">
        <v>6214</v>
      </c>
      <c r="B90" s="128" t="s">
        <v>34</v>
      </c>
      <c r="C90" s="55"/>
      <c r="D90" s="49" t="e">
        <f t="shared" si="99"/>
        <v>#DIV/0!</v>
      </c>
      <c r="E90" s="55"/>
      <c r="F90" s="49" t="e">
        <f t="shared" si="100"/>
        <v>#DIV/0!</v>
      </c>
      <c r="G90" s="55"/>
      <c r="H90" s="49" t="e">
        <f t="shared" si="101"/>
        <v>#DIV/0!</v>
      </c>
      <c r="I90" s="55"/>
      <c r="J90" s="49" t="e">
        <f t="shared" si="102"/>
        <v>#DIV/0!</v>
      </c>
      <c r="K90" s="55"/>
      <c r="L90" s="49" t="e">
        <f t="shared" si="103"/>
        <v>#DIV/0!</v>
      </c>
      <c r="M90" s="55"/>
      <c r="N90" s="49" t="e">
        <f t="shared" si="104"/>
        <v>#DIV/0!</v>
      </c>
      <c r="O90" s="55"/>
      <c r="P90" s="49" t="e">
        <f t="shared" si="105"/>
        <v>#DIV/0!</v>
      </c>
      <c r="Q90" s="55"/>
      <c r="R90" s="49" t="e">
        <f t="shared" si="106"/>
        <v>#DIV/0!</v>
      </c>
      <c r="S90" s="55"/>
      <c r="T90" s="49" t="e">
        <f t="shared" si="96"/>
        <v>#DIV/0!</v>
      </c>
      <c r="U90" s="55"/>
      <c r="V90" s="49" t="e">
        <f t="shared" si="107"/>
        <v>#DIV/0!</v>
      </c>
      <c r="W90" s="55"/>
      <c r="X90" s="49" t="e">
        <f t="shared" si="108"/>
        <v>#DIV/0!</v>
      </c>
      <c r="Y90" s="55"/>
      <c r="Z90" s="49" t="e">
        <f t="shared" si="97"/>
        <v>#DIV/0!</v>
      </c>
      <c r="AA90" s="105">
        <f t="shared" si="109"/>
        <v>0</v>
      </c>
      <c r="AB90" s="108" t="e">
        <f t="shared" si="52"/>
        <v>#DIV/0!</v>
      </c>
      <c r="AC90" s="89">
        <f t="shared" si="94"/>
        <v>0</v>
      </c>
      <c r="AD90" s="92" t="e">
        <f t="shared" si="53"/>
        <v>#DIV/0!</v>
      </c>
      <c r="AE90" s="214"/>
      <c r="AF90" s="54"/>
      <c r="AH90" s="21">
        <f t="shared" si="98"/>
        <v>0</v>
      </c>
    </row>
    <row r="91" spans="1:34" s="289" customFormat="1">
      <c r="A91" s="2">
        <v>6215</v>
      </c>
      <c r="B91" s="128" t="s">
        <v>197</v>
      </c>
      <c r="C91" s="46"/>
      <c r="D91" s="49" t="e">
        <f t="shared" si="99"/>
        <v>#DIV/0!</v>
      </c>
      <c r="E91" s="46"/>
      <c r="F91" s="49" t="e">
        <f t="shared" si="100"/>
        <v>#DIV/0!</v>
      </c>
      <c r="G91" s="46"/>
      <c r="H91" s="49" t="e">
        <f t="shared" si="101"/>
        <v>#DIV/0!</v>
      </c>
      <c r="I91" s="46"/>
      <c r="J91" s="49" t="e">
        <f t="shared" si="102"/>
        <v>#DIV/0!</v>
      </c>
      <c r="K91" s="46"/>
      <c r="L91" s="49" t="e">
        <f t="shared" si="103"/>
        <v>#DIV/0!</v>
      </c>
      <c r="M91" s="46"/>
      <c r="N91" s="49" t="e">
        <f t="shared" si="104"/>
        <v>#DIV/0!</v>
      </c>
      <c r="O91" s="46"/>
      <c r="P91" s="49" t="e">
        <f t="shared" si="105"/>
        <v>#DIV/0!</v>
      </c>
      <c r="Q91" s="46"/>
      <c r="R91" s="49" t="e">
        <f t="shared" si="106"/>
        <v>#DIV/0!</v>
      </c>
      <c r="S91" s="46"/>
      <c r="T91" s="49" t="e">
        <f t="shared" si="96"/>
        <v>#DIV/0!</v>
      </c>
      <c r="U91" s="46"/>
      <c r="V91" s="49" t="e">
        <f t="shared" si="107"/>
        <v>#DIV/0!</v>
      </c>
      <c r="W91" s="46"/>
      <c r="X91" s="49" t="e">
        <f t="shared" si="108"/>
        <v>#DIV/0!</v>
      </c>
      <c r="Y91" s="46"/>
      <c r="Z91" s="49" t="e">
        <f t="shared" si="97"/>
        <v>#DIV/0!</v>
      </c>
      <c r="AA91" s="105">
        <f t="shared" si="109"/>
        <v>0</v>
      </c>
      <c r="AB91" s="108" t="e">
        <f t="shared" si="52"/>
        <v>#DIV/0!</v>
      </c>
      <c r="AC91" s="89">
        <f t="shared" si="94"/>
        <v>0</v>
      </c>
      <c r="AD91" s="92" t="e">
        <f t="shared" si="53"/>
        <v>#DIV/0!</v>
      </c>
      <c r="AE91" s="214"/>
      <c r="AF91" s="54"/>
      <c r="AH91" s="21">
        <f t="shared" si="98"/>
        <v>0</v>
      </c>
    </row>
    <row r="92" spans="1:34" s="289" customFormat="1">
      <c r="A92" s="2">
        <v>6216</v>
      </c>
      <c r="B92" s="128" t="s">
        <v>91</v>
      </c>
      <c r="C92" s="46">
        <v>0</v>
      </c>
      <c r="D92" s="49" t="e">
        <f t="shared" si="99"/>
        <v>#DIV/0!</v>
      </c>
      <c r="E92" s="46">
        <v>0</v>
      </c>
      <c r="F92" s="49" t="e">
        <f t="shared" si="100"/>
        <v>#DIV/0!</v>
      </c>
      <c r="G92" s="46">
        <v>0</v>
      </c>
      <c r="H92" s="49" t="e">
        <f t="shared" si="101"/>
        <v>#DIV/0!</v>
      </c>
      <c r="I92" s="46">
        <v>0</v>
      </c>
      <c r="J92" s="49" t="e">
        <f t="shared" si="102"/>
        <v>#DIV/0!</v>
      </c>
      <c r="K92" s="46">
        <v>0</v>
      </c>
      <c r="L92" s="49" t="e">
        <f t="shared" si="103"/>
        <v>#DIV/0!</v>
      </c>
      <c r="M92" s="46">
        <v>0</v>
      </c>
      <c r="N92" s="49" t="e">
        <f t="shared" si="104"/>
        <v>#DIV/0!</v>
      </c>
      <c r="O92" s="46">
        <v>0</v>
      </c>
      <c r="P92" s="49" t="e">
        <f t="shared" si="105"/>
        <v>#DIV/0!</v>
      </c>
      <c r="Q92" s="46">
        <v>0</v>
      </c>
      <c r="R92" s="49" t="e">
        <f t="shared" si="106"/>
        <v>#DIV/0!</v>
      </c>
      <c r="S92" s="46">
        <v>0</v>
      </c>
      <c r="T92" s="49" t="e">
        <f t="shared" si="96"/>
        <v>#DIV/0!</v>
      </c>
      <c r="U92" s="46">
        <v>0</v>
      </c>
      <c r="V92" s="49" t="e">
        <f t="shared" si="107"/>
        <v>#DIV/0!</v>
      </c>
      <c r="W92" s="46">
        <v>0</v>
      </c>
      <c r="X92" s="49" t="e">
        <f t="shared" si="108"/>
        <v>#DIV/0!</v>
      </c>
      <c r="Y92" s="46">
        <v>0</v>
      </c>
      <c r="Z92" s="49" t="e">
        <f t="shared" si="97"/>
        <v>#DIV/0!</v>
      </c>
      <c r="AA92" s="105">
        <f t="shared" si="109"/>
        <v>0</v>
      </c>
      <c r="AB92" s="108" t="e">
        <f t="shared" si="52"/>
        <v>#DIV/0!</v>
      </c>
      <c r="AC92" s="89">
        <f t="shared" si="94"/>
        <v>0</v>
      </c>
      <c r="AD92" s="92" t="e">
        <f t="shared" si="53"/>
        <v>#DIV/0!</v>
      </c>
      <c r="AE92" s="214"/>
      <c r="AF92" s="54"/>
      <c r="AH92" s="21">
        <f t="shared" si="98"/>
        <v>0</v>
      </c>
    </row>
    <row r="93" spans="1:34" s="289" customFormat="1" ht="15.75" thickBot="1">
      <c r="A93" s="4">
        <v>6299</v>
      </c>
      <c r="B93" s="4" t="s">
        <v>114</v>
      </c>
      <c r="C93" s="59">
        <f>SUM(C77:C92)</f>
        <v>0</v>
      </c>
      <c r="D93" s="69" t="e">
        <f>C93/C12</f>
        <v>#DIV/0!</v>
      </c>
      <c r="E93" s="59">
        <f>SUM(E77:E92)</f>
        <v>0</v>
      </c>
      <c r="F93" s="69" t="e">
        <f>E93/E12</f>
        <v>#DIV/0!</v>
      </c>
      <c r="G93" s="59">
        <f>SUM(G77:G92)</f>
        <v>0</v>
      </c>
      <c r="H93" s="69" t="e">
        <f>G93/G12</f>
        <v>#DIV/0!</v>
      </c>
      <c r="I93" s="59">
        <f>SUM(I77:I92)</f>
        <v>0</v>
      </c>
      <c r="J93" s="69" t="e">
        <f>I93/I12</f>
        <v>#DIV/0!</v>
      </c>
      <c r="K93" s="59">
        <f>SUM(K77:K92)</f>
        <v>0</v>
      </c>
      <c r="L93" s="69" t="e">
        <f>K93/K12</f>
        <v>#DIV/0!</v>
      </c>
      <c r="M93" s="59">
        <f>SUM(M77:M92)</f>
        <v>0</v>
      </c>
      <c r="N93" s="69" t="e">
        <f>M93/M12</f>
        <v>#DIV/0!</v>
      </c>
      <c r="O93" s="59">
        <f>SUM(O77:O92)</f>
        <v>0</v>
      </c>
      <c r="P93" s="69" t="e">
        <f>O93/O12</f>
        <v>#DIV/0!</v>
      </c>
      <c r="Q93" s="59">
        <f>SUM(Q77:Q92)</f>
        <v>0</v>
      </c>
      <c r="R93" s="69" t="e">
        <f>Q93/Q12</f>
        <v>#DIV/0!</v>
      </c>
      <c r="S93" s="59">
        <f>SUM(S77:S92)</f>
        <v>0</v>
      </c>
      <c r="T93" s="69" t="e">
        <f t="shared" si="96"/>
        <v>#DIV/0!</v>
      </c>
      <c r="U93" s="59">
        <f>SUM(U77:U92)</f>
        <v>0</v>
      </c>
      <c r="V93" s="69" t="e">
        <f>U93/U12</f>
        <v>#DIV/0!</v>
      </c>
      <c r="W93" s="59">
        <f>SUM(W77:W92)</f>
        <v>0</v>
      </c>
      <c r="X93" s="69" t="e">
        <f>W93/W12</f>
        <v>#DIV/0!</v>
      </c>
      <c r="Y93" s="59">
        <f>SUM(Y77:Y92)</f>
        <v>0</v>
      </c>
      <c r="Z93" s="69" t="e">
        <f t="shared" si="97"/>
        <v>#DIV/0!</v>
      </c>
      <c r="AA93" s="109">
        <f>SUM(AA77:AA92)</f>
        <v>0</v>
      </c>
      <c r="AB93" s="110" t="e">
        <f t="shared" si="52"/>
        <v>#DIV/0!</v>
      </c>
      <c r="AC93" s="93">
        <f t="shared" si="94"/>
        <v>0</v>
      </c>
      <c r="AD93" s="94" t="e">
        <f t="shared" si="53"/>
        <v>#DIV/0!</v>
      </c>
      <c r="AE93" s="218"/>
      <c r="AF93" s="220"/>
      <c r="AG93" s="209"/>
      <c r="AH93" s="21">
        <f t="shared" si="98"/>
        <v>0</v>
      </c>
    </row>
    <row r="94" spans="1:34" s="289" customFormat="1" ht="15.75" thickTop="1">
      <c r="A94" s="2">
        <v>6301</v>
      </c>
      <c r="B94" s="2" t="s">
        <v>36</v>
      </c>
      <c r="C94" s="347"/>
      <c r="D94" s="119" t="e">
        <f t="shared" ref="D94:D114" si="110">C94/C$12</f>
        <v>#DIV/0!</v>
      </c>
      <c r="E94" s="347"/>
      <c r="F94" s="119" t="e">
        <f t="shared" ref="F94:F114" si="111">E94/E$12</f>
        <v>#DIV/0!</v>
      </c>
      <c r="G94" s="347"/>
      <c r="H94" s="119" t="e">
        <f t="shared" ref="H94:H114" si="112">G94/G$12</f>
        <v>#DIV/0!</v>
      </c>
      <c r="I94" s="347"/>
      <c r="J94" s="119" t="e">
        <f t="shared" ref="J94:J114" si="113">I94/I$12</f>
        <v>#DIV/0!</v>
      </c>
      <c r="K94" s="347"/>
      <c r="L94" s="119" t="e">
        <f t="shared" ref="L94:L114" si="114">K94/K$12</f>
        <v>#DIV/0!</v>
      </c>
      <c r="M94" s="347"/>
      <c r="N94" s="119" t="e">
        <f t="shared" ref="N94:N114" si="115">M94/M$12</f>
        <v>#DIV/0!</v>
      </c>
      <c r="O94" s="347"/>
      <c r="P94" s="119" t="e">
        <f t="shared" ref="P94:P114" si="116">O94/O$12</f>
        <v>#DIV/0!</v>
      </c>
      <c r="Q94" s="347"/>
      <c r="R94" s="119" t="e">
        <f t="shared" ref="R94:R114" si="117">Q94/Q$12</f>
        <v>#DIV/0!</v>
      </c>
      <c r="S94" s="347"/>
      <c r="T94" s="119" t="e">
        <f t="shared" si="96"/>
        <v>#DIV/0!</v>
      </c>
      <c r="U94" s="347"/>
      <c r="V94" s="119" t="e">
        <f t="shared" ref="V94:V114" si="118">U94/U$12</f>
        <v>#DIV/0!</v>
      </c>
      <c r="W94" s="347"/>
      <c r="X94" s="119" t="e">
        <f t="shared" ref="X94:X114" si="119">W94/W$12</f>
        <v>#DIV/0!</v>
      </c>
      <c r="Y94" s="347"/>
      <c r="Z94" s="119" t="e">
        <f t="shared" si="97"/>
        <v>#DIV/0!</v>
      </c>
      <c r="AA94" s="343">
        <f t="shared" ref="AA94:AA114" si="120">C94+E94+G94+I94+K94+M94+O94+Q94+S94+U94+W94+Y94</f>
        <v>0</v>
      </c>
      <c r="AB94" s="341" t="e">
        <f>AA94/AA$12</f>
        <v>#DIV/0!</v>
      </c>
      <c r="AC94" s="342">
        <f t="shared" si="94"/>
        <v>0</v>
      </c>
      <c r="AD94" s="341" t="e">
        <f>AC94/AC$12</f>
        <v>#DIV/0!</v>
      </c>
      <c r="AE94" s="214"/>
      <c r="AF94" s="54"/>
      <c r="AH94" s="21">
        <f t="shared" si="98"/>
        <v>0</v>
      </c>
    </row>
    <row r="95" spans="1:34" s="289" customFormat="1">
      <c r="A95" s="2">
        <v>6302</v>
      </c>
      <c r="B95" s="2" t="s">
        <v>37</v>
      </c>
      <c r="C95" s="280"/>
      <c r="D95" s="108" t="e">
        <f t="shared" si="110"/>
        <v>#DIV/0!</v>
      </c>
      <c r="E95" s="280"/>
      <c r="F95" s="108" t="e">
        <f t="shared" si="111"/>
        <v>#DIV/0!</v>
      </c>
      <c r="G95" s="280"/>
      <c r="H95" s="108" t="e">
        <f t="shared" si="112"/>
        <v>#DIV/0!</v>
      </c>
      <c r="I95" s="280"/>
      <c r="J95" s="108" t="e">
        <f t="shared" si="113"/>
        <v>#DIV/0!</v>
      </c>
      <c r="K95" s="280"/>
      <c r="L95" s="108" t="e">
        <f t="shared" si="114"/>
        <v>#DIV/0!</v>
      </c>
      <c r="M95" s="280"/>
      <c r="N95" s="108" t="e">
        <f t="shared" si="115"/>
        <v>#DIV/0!</v>
      </c>
      <c r="O95" s="280"/>
      <c r="P95" s="108" t="e">
        <f t="shared" si="116"/>
        <v>#DIV/0!</v>
      </c>
      <c r="Q95" s="280"/>
      <c r="R95" s="108" t="e">
        <f t="shared" si="117"/>
        <v>#DIV/0!</v>
      </c>
      <c r="S95" s="280"/>
      <c r="T95" s="108" t="e">
        <f t="shared" si="96"/>
        <v>#DIV/0!</v>
      </c>
      <c r="U95" s="280"/>
      <c r="V95" s="108" t="e">
        <f t="shared" si="118"/>
        <v>#DIV/0!</v>
      </c>
      <c r="W95" s="280"/>
      <c r="X95" s="108" t="e">
        <f t="shared" si="119"/>
        <v>#DIV/0!</v>
      </c>
      <c r="Y95" s="280"/>
      <c r="Z95" s="108" t="e">
        <f t="shared" si="97"/>
        <v>#DIV/0!</v>
      </c>
      <c r="AA95" s="343">
        <f t="shared" si="120"/>
        <v>0</v>
      </c>
      <c r="AB95" s="341" t="e">
        <f t="shared" ref="AB95:AB99" si="121">AA95/AA$12</f>
        <v>#DIV/0!</v>
      </c>
      <c r="AC95" s="342">
        <f t="shared" si="94"/>
        <v>0</v>
      </c>
      <c r="AD95" s="341" t="e">
        <f t="shared" ref="AD95:AD99" si="122">AC95/AC$12</f>
        <v>#DIV/0!</v>
      </c>
      <c r="AE95" s="214"/>
      <c r="AF95" s="54"/>
      <c r="AH95" s="21">
        <f t="shared" si="98"/>
        <v>0</v>
      </c>
    </row>
    <row r="96" spans="1:34" s="289" customFormat="1">
      <c r="A96" s="2">
        <v>6303</v>
      </c>
      <c r="B96" s="2" t="s">
        <v>123</v>
      </c>
      <c r="C96" s="280"/>
      <c r="D96" s="108" t="e">
        <f t="shared" si="110"/>
        <v>#DIV/0!</v>
      </c>
      <c r="E96" s="280"/>
      <c r="F96" s="108" t="e">
        <f t="shared" si="111"/>
        <v>#DIV/0!</v>
      </c>
      <c r="G96" s="280"/>
      <c r="H96" s="108" t="e">
        <f t="shared" si="112"/>
        <v>#DIV/0!</v>
      </c>
      <c r="I96" s="280"/>
      <c r="J96" s="108" t="e">
        <f t="shared" si="113"/>
        <v>#DIV/0!</v>
      </c>
      <c r="K96" s="280"/>
      <c r="L96" s="108" t="e">
        <f t="shared" si="114"/>
        <v>#DIV/0!</v>
      </c>
      <c r="M96" s="280"/>
      <c r="N96" s="108" t="e">
        <f t="shared" si="115"/>
        <v>#DIV/0!</v>
      </c>
      <c r="O96" s="280"/>
      <c r="P96" s="108" t="e">
        <f t="shared" si="116"/>
        <v>#DIV/0!</v>
      </c>
      <c r="Q96" s="280"/>
      <c r="R96" s="108" t="e">
        <f t="shared" si="117"/>
        <v>#DIV/0!</v>
      </c>
      <c r="S96" s="280"/>
      <c r="T96" s="108" t="e">
        <f t="shared" si="96"/>
        <v>#DIV/0!</v>
      </c>
      <c r="U96" s="280"/>
      <c r="V96" s="108" t="e">
        <f t="shared" si="118"/>
        <v>#DIV/0!</v>
      </c>
      <c r="W96" s="280"/>
      <c r="X96" s="108" t="e">
        <f t="shared" si="119"/>
        <v>#DIV/0!</v>
      </c>
      <c r="Y96" s="280"/>
      <c r="Z96" s="108" t="e">
        <f t="shared" si="97"/>
        <v>#DIV/0!</v>
      </c>
      <c r="AA96" s="343">
        <f t="shared" si="120"/>
        <v>0</v>
      </c>
      <c r="AB96" s="341" t="e">
        <f t="shared" si="121"/>
        <v>#DIV/0!</v>
      </c>
      <c r="AC96" s="342">
        <f t="shared" si="94"/>
        <v>0</v>
      </c>
      <c r="AD96" s="341" t="e">
        <f t="shared" si="122"/>
        <v>#DIV/0!</v>
      </c>
      <c r="AE96" s="214"/>
      <c r="AF96" s="54"/>
      <c r="AH96" s="21">
        <f t="shared" si="98"/>
        <v>0</v>
      </c>
    </row>
    <row r="97" spans="1:34" s="289" customFormat="1">
      <c r="A97" s="2">
        <v>6304</v>
      </c>
      <c r="B97" s="2" t="s">
        <v>38</v>
      </c>
      <c r="C97" s="348"/>
      <c r="D97" s="108" t="e">
        <f t="shared" si="110"/>
        <v>#DIV/0!</v>
      </c>
      <c r="E97" s="348"/>
      <c r="F97" s="108" t="e">
        <f t="shared" si="111"/>
        <v>#DIV/0!</v>
      </c>
      <c r="G97" s="348"/>
      <c r="H97" s="108" t="e">
        <f t="shared" si="112"/>
        <v>#DIV/0!</v>
      </c>
      <c r="I97" s="348"/>
      <c r="J97" s="108" t="e">
        <f t="shared" si="113"/>
        <v>#DIV/0!</v>
      </c>
      <c r="K97" s="348"/>
      <c r="L97" s="108" t="e">
        <f t="shared" si="114"/>
        <v>#DIV/0!</v>
      </c>
      <c r="M97" s="348"/>
      <c r="N97" s="108" t="e">
        <f t="shared" si="115"/>
        <v>#DIV/0!</v>
      </c>
      <c r="O97" s="348"/>
      <c r="P97" s="108" t="e">
        <f t="shared" si="116"/>
        <v>#DIV/0!</v>
      </c>
      <c r="Q97" s="348"/>
      <c r="R97" s="108" t="e">
        <f t="shared" si="117"/>
        <v>#DIV/0!</v>
      </c>
      <c r="S97" s="348"/>
      <c r="T97" s="108" t="e">
        <f t="shared" si="96"/>
        <v>#DIV/0!</v>
      </c>
      <c r="U97" s="348"/>
      <c r="V97" s="108" t="e">
        <f t="shared" si="118"/>
        <v>#DIV/0!</v>
      </c>
      <c r="W97" s="348"/>
      <c r="X97" s="108" t="e">
        <f t="shared" si="119"/>
        <v>#DIV/0!</v>
      </c>
      <c r="Y97" s="348"/>
      <c r="Z97" s="108" t="e">
        <f t="shared" si="97"/>
        <v>#DIV/0!</v>
      </c>
      <c r="AA97" s="343">
        <f t="shared" si="120"/>
        <v>0</v>
      </c>
      <c r="AB97" s="341" t="e">
        <f t="shared" si="121"/>
        <v>#DIV/0!</v>
      </c>
      <c r="AC97" s="342">
        <f t="shared" si="94"/>
        <v>0</v>
      </c>
      <c r="AD97" s="341" t="e">
        <f t="shared" si="122"/>
        <v>#DIV/0!</v>
      </c>
      <c r="AE97" s="214"/>
      <c r="AF97" s="54"/>
      <c r="AH97" s="21">
        <f t="shared" si="98"/>
        <v>0</v>
      </c>
    </row>
    <row r="98" spans="1:34" s="289" customFormat="1">
      <c r="A98" s="2">
        <v>6305</v>
      </c>
      <c r="B98" s="2" t="s">
        <v>39</v>
      </c>
      <c r="C98" s="280"/>
      <c r="D98" s="108" t="e">
        <f t="shared" si="110"/>
        <v>#DIV/0!</v>
      </c>
      <c r="E98" s="280"/>
      <c r="F98" s="108" t="e">
        <f t="shared" si="111"/>
        <v>#DIV/0!</v>
      </c>
      <c r="G98" s="280"/>
      <c r="H98" s="108" t="e">
        <f t="shared" si="112"/>
        <v>#DIV/0!</v>
      </c>
      <c r="I98" s="280"/>
      <c r="J98" s="108" t="e">
        <f t="shared" si="113"/>
        <v>#DIV/0!</v>
      </c>
      <c r="K98" s="280"/>
      <c r="L98" s="108" t="e">
        <f t="shared" si="114"/>
        <v>#DIV/0!</v>
      </c>
      <c r="M98" s="280"/>
      <c r="N98" s="108" t="e">
        <f t="shared" si="115"/>
        <v>#DIV/0!</v>
      </c>
      <c r="O98" s="280"/>
      <c r="P98" s="108" t="e">
        <f t="shared" si="116"/>
        <v>#DIV/0!</v>
      </c>
      <c r="Q98" s="280"/>
      <c r="R98" s="108" t="e">
        <f t="shared" si="117"/>
        <v>#DIV/0!</v>
      </c>
      <c r="S98" s="280"/>
      <c r="T98" s="108" t="e">
        <f t="shared" si="96"/>
        <v>#DIV/0!</v>
      </c>
      <c r="U98" s="280"/>
      <c r="V98" s="108" t="e">
        <f t="shared" si="118"/>
        <v>#DIV/0!</v>
      </c>
      <c r="W98" s="280"/>
      <c r="X98" s="108" t="e">
        <f t="shared" si="119"/>
        <v>#DIV/0!</v>
      </c>
      <c r="Y98" s="280"/>
      <c r="Z98" s="108" t="e">
        <f t="shared" si="97"/>
        <v>#DIV/0!</v>
      </c>
      <c r="AA98" s="343">
        <f t="shared" si="120"/>
        <v>0</v>
      </c>
      <c r="AB98" s="341" t="e">
        <f t="shared" si="121"/>
        <v>#DIV/0!</v>
      </c>
      <c r="AC98" s="342">
        <f t="shared" si="94"/>
        <v>0</v>
      </c>
      <c r="AD98" s="341" t="e">
        <f t="shared" si="122"/>
        <v>#DIV/0!</v>
      </c>
      <c r="AE98" s="214"/>
      <c r="AF98" s="54"/>
      <c r="AH98" s="21">
        <f t="shared" si="98"/>
        <v>0</v>
      </c>
    </row>
    <row r="99" spans="1:34" s="289" customFormat="1">
      <c r="A99" s="2">
        <v>6306</v>
      </c>
      <c r="B99" s="2" t="s">
        <v>40</v>
      </c>
      <c r="C99" s="280"/>
      <c r="D99" s="108" t="e">
        <f t="shared" si="110"/>
        <v>#DIV/0!</v>
      </c>
      <c r="E99" s="280"/>
      <c r="F99" s="108" t="e">
        <f t="shared" si="111"/>
        <v>#DIV/0!</v>
      </c>
      <c r="G99" s="280"/>
      <c r="H99" s="108" t="e">
        <f t="shared" si="112"/>
        <v>#DIV/0!</v>
      </c>
      <c r="I99" s="280"/>
      <c r="J99" s="108" t="e">
        <f t="shared" si="113"/>
        <v>#DIV/0!</v>
      </c>
      <c r="K99" s="280"/>
      <c r="L99" s="108" t="e">
        <f t="shared" si="114"/>
        <v>#DIV/0!</v>
      </c>
      <c r="M99" s="280"/>
      <c r="N99" s="108" t="e">
        <f t="shared" si="115"/>
        <v>#DIV/0!</v>
      </c>
      <c r="O99" s="280"/>
      <c r="P99" s="108" t="e">
        <f t="shared" si="116"/>
        <v>#DIV/0!</v>
      </c>
      <c r="Q99" s="280"/>
      <c r="R99" s="108" t="e">
        <f t="shared" si="117"/>
        <v>#DIV/0!</v>
      </c>
      <c r="S99" s="280"/>
      <c r="T99" s="108" t="e">
        <f t="shared" si="96"/>
        <v>#DIV/0!</v>
      </c>
      <c r="U99" s="280"/>
      <c r="V99" s="108" t="e">
        <f t="shared" si="118"/>
        <v>#DIV/0!</v>
      </c>
      <c r="W99" s="280"/>
      <c r="X99" s="108" t="e">
        <f t="shared" si="119"/>
        <v>#DIV/0!</v>
      </c>
      <c r="Y99" s="280"/>
      <c r="Z99" s="108" t="e">
        <f t="shared" si="97"/>
        <v>#DIV/0!</v>
      </c>
      <c r="AA99" s="343">
        <f t="shared" si="120"/>
        <v>0</v>
      </c>
      <c r="AB99" s="341" t="e">
        <f t="shared" si="121"/>
        <v>#DIV/0!</v>
      </c>
      <c r="AC99" s="342">
        <f t="shared" si="94"/>
        <v>0</v>
      </c>
      <c r="AD99" s="341" t="e">
        <f t="shared" si="122"/>
        <v>#DIV/0!</v>
      </c>
      <c r="AE99" s="214"/>
      <c r="AF99" s="54"/>
      <c r="AH99" s="21">
        <f t="shared" si="98"/>
        <v>0</v>
      </c>
    </row>
    <row r="100" spans="1:34" s="289" customFormat="1">
      <c r="A100" s="2">
        <v>6307</v>
      </c>
      <c r="B100" s="2" t="s">
        <v>240</v>
      </c>
      <c r="C100" s="280"/>
      <c r="D100" s="108" t="e">
        <f t="shared" si="110"/>
        <v>#DIV/0!</v>
      </c>
      <c r="E100" s="280"/>
      <c r="F100" s="108" t="e">
        <f t="shared" si="111"/>
        <v>#DIV/0!</v>
      </c>
      <c r="G100" s="280"/>
      <c r="H100" s="108" t="e">
        <f t="shared" si="112"/>
        <v>#DIV/0!</v>
      </c>
      <c r="I100" s="280"/>
      <c r="J100" s="108" t="e">
        <f t="shared" si="113"/>
        <v>#DIV/0!</v>
      </c>
      <c r="K100" s="280"/>
      <c r="L100" s="108" t="e">
        <f t="shared" si="114"/>
        <v>#DIV/0!</v>
      </c>
      <c r="M100" s="280"/>
      <c r="N100" s="108" t="e">
        <f t="shared" si="115"/>
        <v>#DIV/0!</v>
      </c>
      <c r="O100" s="280"/>
      <c r="P100" s="108" t="e">
        <f t="shared" si="116"/>
        <v>#DIV/0!</v>
      </c>
      <c r="Q100" s="280"/>
      <c r="R100" s="108" t="e">
        <f t="shared" si="117"/>
        <v>#DIV/0!</v>
      </c>
      <c r="S100" s="280"/>
      <c r="T100" s="108" t="e">
        <f t="shared" si="96"/>
        <v>#DIV/0!</v>
      </c>
      <c r="U100" s="280"/>
      <c r="V100" s="108" t="e">
        <f t="shared" si="118"/>
        <v>#DIV/0!</v>
      </c>
      <c r="W100" s="280"/>
      <c r="X100" s="108" t="e">
        <f t="shared" si="119"/>
        <v>#DIV/0!</v>
      </c>
      <c r="Y100" s="280"/>
      <c r="Z100" s="108" t="e">
        <f t="shared" si="97"/>
        <v>#DIV/0!</v>
      </c>
      <c r="AA100" s="343">
        <f t="shared" si="120"/>
        <v>0</v>
      </c>
      <c r="AB100" s="341" t="e">
        <f>AA100/AA$12</f>
        <v>#DIV/0!</v>
      </c>
      <c r="AC100" s="342">
        <f t="shared" si="94"/>
        <v>0</v>
      </c>
      <c r="AD100" s="341" t="e">
        <f>AC100/AC$12</f>
        <v>#DIV/0!</v>
      </c>
      <c r="AE100" s="214"/>
      <c r="AF100" s="54"/>
      <c r="AH100" s="21"/>
    </row>
    <row r="101" spans="1:34" s="289" customFormat="1">
      <c r="A101" s="2">
        <v>6308</v>
      </c>
      <c r="B101" s="2" t="s">
        <v>142</v>
      </c>
      <c r="C101" s="280"/>
      <c r="D101" s="108" t="e">
        <f t="shared" si="110"/>
        <v>#DIV/0!</v>
      </c>
      <c r="E101" s="280"/>
      <c r="F101" s="108" t="e">
        <f t="shared" si="111"/>
        <v>#DIV/0!</v>
      </c>
      <c r="G101" s="280"/>
      <c r="H101" s="108" t="e">
        <f t="shared" si="112"/>
        <v>#DIV/0!</v>
      </c>
      <c r="I101" s="280"/>
      <c r="J101" s="108" t="e">
        <f t="shared" si="113"/>
        <v>#DIV/0!</v>
      </c>
      <c r="K101" s="280"/>
      <c r="L101" s="108" t="e">
        <f t="shared" si="114"/>
        <v>#DIV/0!</v>
      </c>
      <c r="M101" s="280"/>
      <c r="N101" s="108" t="e">
        <f t="shared" si="115"/>
        <v>#DIV/0!</v>
      </c>
      <c r="O101" s="280"/>
      <c r="P101" s="108" t="e">
        <f t="shared" si="116"/>
        <v>#DIV/0!</v>
      </c>
      <c r="Q101" s="280"/>
      <c r="R101" s="108" t="e">
        <f t="shared" si="117"/>
        <v>#DIV/0!</v>
      </c>
      <c r="S101" s="280"/>
      <c r="T101" s="108" t="e">
        <f t="shared" si="96"/>
        <v>#DIV/0!</v>
      </c>
      <c r="U101" s="280"/>
      <c r="V101" s="108" t="e">
        <f t="shared" si="118"/>
        <v>#DIV/0!</v>
      </c>
      <c r="W101" s="280"/>
      <c r="X101" s="108" t="e">
        <f t="shared" si="119"/>
        <v>#DIV/0!</v>
      </c>
      <c r="Y101" s="280"/>
      <c r="Z101" s="108" t="e">
        <f t="shared" si="97"/>
        <v>#DIV/0!</v>
      </c>
      <c r="AA101" s="343">
        <f t="shared" si="120"/>
        <v>0</v>
      </c>
      <c r="AB101" s="341" t="e">
        <f>AA101/AA$12</f>
        <v>#DIV/0!</v>
      </c>
      <c r="AC101" s="342">
        <f t="shared" si="94"/>
        <v>0</v>
      </c>
      <c r="AD101" s="341" t="e">
        <f>AC101/AC$12</f>
        <v>#DIV/0!</v>
      </c>
      <c r="AE101" s="214"/>
      <c r="AF101" s="54"/>
      <c r="AH101" s="21">
        <f t="shared" si="98"/>
        <v>0</v>
      </c>
    </row>
    <row r="102" spans="1:34" s="289" customFormat="1">
      <c r="A102" s="2">
        <v>6309</v>
      </c>
      <c r="B102" s="2" t="s">
        <v>143</v>
      </c>
      <c r="C102" s="349"/>
      <c r="D102" s="108" t="e">
        <f t="shared" si="110"/>
        <v>#DIV/0!</v>
      </c>
      <c r="E102" s="349"/>
      <c r="F102" s="108" t="e">
        <f t="shared" si="111"/>
        <v>#DIV/0!</v>
      </c>
      <c r="G102" s="349"/>
      <c r="H102" s="108" t="e">
        <f t="shared" si="112"/>
        <v>#DIV/0!</v>
      </c>
      <c r="I102" s="349"/>
      <c r="J102" s="108" t="e">
        <f t="shared" si="113"/>
        <v>#DIV/0!</v>
      </c>
      <c r="K102" s="349"/>
      <c r="L102" s="108" t="e">
        <f t="shared" si="114"/>
        <v>#DIV/0!</v>
      </c>
      <c r="M102" s="349"/>
      <c r="N102" s="108" t="e">
        <f t="shared" si="115"/>
        <v>#DIV/0!</v>
      </c>
      <c r="O102" s="349"/>
      <c r="P102" s="108" t="e">
        <f t="shared" si="116"/>
        <v>#DIV/0!</v>
      </c>
      <c r="Q102" s="349"/>
      <c r="R102" s="108" t="e">
        <f t="shared" si="117"/>
        <v>#DIV/0!</v>
      </c>
      <c r="S102" s="349"/>
      <c r="T102" s="108" t="e">
        <f t="shared" si="96"/>
        <v>#DIV/0!</v>
      </c>
      <c r="U102" s="349"/>
      <c r="V102" s="108" t="e">
        <f t="shared" si="118"/>
        <v>#DIV/0!</v>
      </c>
      <c r="W102" s="349"/>
      <c r="X102" s="108" t="e">
        <f t="shared" si="119"/>
        <v>#DIV/0!</v>
      </c>
      <c r="Y102" s="349"/>
      <c r="Z102" s="108" t="e">
        <f t="shared" si="97"/>
        <v>#DIV/0!</v>
      </c>
      <c r="AA102" s="343">
        <f t="shared" si="120"/>
        <v>0</v>
      </c>
      <c r="AB102" s="341" t="e">
        <f>AA102/AA$12</f>
        <v>#DIV/0!</v>
      </c>
      <c r="AC102" s="342">
        <f t="shared" si="94"/>
        <v>0</v>
      </c>
      <c r="AD102" s="341" t="e">
        <f>AC102/AC$12</f>
        <v>#DIV/0!</v>
      </c>
      <c r="AE102" s="214"/>
      <c r="AF102" s="54"/>
      <c r="AH102" s="21">
        <f t="shared" si="98"/>
        <v>0</v>
      </c>
    </row>
    <row r="103" spans="1:34" s="289" customFormat="1">
      <c r="A103" s="2">
        <v>6310</v>
      </c>
      <c r="B103" s="2" t="s">
        <v>144</v>
      </c>
      <c r="C103" s="280"/>
      <c r="D103" s="108" t="e">
        <f t="shared" si="110"/>
        <v>#DIV/0!</v>
      </c>
      <c r="E103" s="280"/>
      <c r="F103" s="108" t="e">
        <f t="shared" si="111"/>
        <v>#DIV/0!</v>
      </c>
      <c r="G103" s="280"/>
      <c r="H103" s="108" t="e">
        <f t="shared" si="112"/>
        <v>#DIV/0!</v>
      </c>
      <c r="I103" s="280"/>
      <c r="J103" s="108" t="e">
        <f t="shared" si="113"/>
        <v>#DIV/0!</v>
      </c>
      <c r="K103" s="280"/>
      <c r="L103" s="108" t="e">
        <f t="shared" si="114"/>
        <v>#DIV/0!</v>
      </c>
      <c r="M103" s="280"/>
      <c r="N103" s="108" t="e">
        <f t="shared" si="115"/>
        <v>#DIV/0!</v>
      </c>
      <c r="O103" s="280"/>
      <c r="P103" s="108" t="e">
        <f t="shared" si="116"/>
        <v>#DIV/0!</v>
      </c>
      <c r="Q103" s="280"/>
      <c r="R103" s="108" t="e">
        <f t="shared" si="117"/>
        <v>#DIV/0!</v>
      </c>
      <c r="S103" s="280"/>
      <c r="T103" s="108" t="e">
        <f t="shared" si="96"/>
        <v>#DIV/0!</v>
      </c>
      <c r="U103" s="280"/>
      <c r="V103" s="108" t="e">
        <f t="shared" si="118"/>
        <v>#DIV/0!</v>
      </c>
      <c r="W103" s="280"/>
      <c r="X103" s="108" t="e">
        <f t="shared" si="119"/>
        <v>#DIV/0!</v>
      </c>
      <c r="Y103" s="280"/>
      <c r="Z103" s="108" t="e">
        <f t="shared" si="97"/>
        <v>#DIV/0!</v>
      </c>
      <c r="AA103" s="343">
        <f t="shared" si="120"/>
        <v>0</v>
      </c>
      <c r="AB103" s="341" t="e">
        <f t="shared" ref="AB103:AB114" si="123">AA103/AA$12</f>
        <v>#DIV/0!</v>
      </c>
      <c r="AC103" s="342">
        <f t="shared" si="94"/>
        <v>0</v>
      </c>
      <c r="AD103" s="341" t="e">
        <f t="shared" ref="AD103:AD114" si="124">AC103/AC$12</f>
        <v>#DIV/0!</v>
      </c>
      <c r="AE103" s="214"/>
      <c r="AF103" s="54"/>
      <c r="AH103" s="21">
        <f t="shared" si="98"/>
        <v>0</v>
      </c>
    </row>
    <row r="104" spans="1:34" s="289" customFormat="1">
      <c r="A104" s="2">
        <v>6311</v>
      </c>
      <c r="B104" s="2" t="s">
        <v>145</v>
      </c>
      <c r="C104" s="280"/>
      <c r="D104" s="108" t="e">
        <f t="shared" si="110"/>
        <v>#DIV/0!</v>
      </c>
      <c r="E104" s="280"/>
      <c r="F104" s="108" t="e">
        <f t="shared" si="111"/>
        <v>#DIV/0!</v>
      </c>
      <c r="G104" s="280"/>
      <c r="H104" s="108" t="e">
        <f t="shared" si="112"/>
        <v>#DIV/0!</v>
      </c>
      <c r="I104" s="280"/>
      <c r="J104" s="108" t="e">
        <f t="shared" si="113"/>
        <v>#DIV/0!</v>
      </c>
      <c r="K104" s="280"/>
      <c r="L104" s="108" t="e">
        <f t="shared" si="114"/>
        <v>#DIV/0!</v>
      </c>
      <c r="M104" s="280"/>
      <c r="N104" s="108" t="e">
        <f t="shared" si="115"/>
        <v>#DIV/0!</v>
      </c>
      <c r="O104" s="280"/>
      <c r="P104" s="108" t="e">
        <f t="shared" si="116"/>
        <v>#DIV/0!</v>
      </c>
      <c r="Q104" s="280"/>
      <c r="R104" s="108" t="e">
        <f t="shared" si="117"/>
        <v>#DIV/0!</v>
      </c>
      <c r="S104" s="280"/>
      <c r="T104" s="108" t="e">
        <f t="shared" si="96"/>
        <v>#DIV/0!</v>
      </c>
      <c r="U104" s="280"/>
      <c r="V104" s="108" t="e">
        <f t="shared" si="118"/>
        <v>#DIV/0!</v>
      </c>
      <c r="W104" s="280"/>
      <c r="X104" s="108" t="e">
        <f t="shared" si="119"/>
        <v>#DIV/0!</v>
      </c>
      <c r="Y104" s="280"/>
      <c r="Z104" s="108" t="e">
        <f t="shared" si="97"/>
        <v>#DIV/0!</v>
      </c>
      <c r="AA104" s="343">
        <f t="shared" si="120"/>
        <v>0</v>
      </c>
      <c r="AB104" s="341" t="e">
        <f t="shared" si="123"/>
        <v>#DIV/0!</v>
      </c>
      <c r="AC104" s="342">
        <f t="shared" si="94"/>
        <v>0</v>
      </c>
      <c r="AD104" s="341" t="e">
        <f t="shared" si="124"/>
        <v>#DIV/0!</v>
      </c>
      <c r="AE104" s="214"/>
      <c r="AF104" s="54"/>
      <c r="AH104" s="21">
        <f t="shared" si="98"/>
        <v>0</v>
      </c>
    </row>
    <row r="105" spans="1:34" s="289" customFormat="1">
      <c r="A105" s="2">
        <v>6312</v>
      </c>
      <c r="B105" s="2" t="s">
        <v>146</v>
      </c>
      <c r="C105" s="280"/>
      <c r="D105" s="108" t="e">
        <f t="shared" si="110"/>
        <v>#DIV/0!</v>
      </c>
      <c r="E105" s="280"/>
      <c r="F105" s="108" t="e">
        <f t="shared" si="111"/>
        <v>#DIV/0!</v>
      </c>
      <c r="G105" s="280"/>
      <c r="H105" s="108" t="e">
        <f t="shared" si="112"/>
        <v>#DIV/0!</v>
      </c>
      <c r="I105" s="280"/>
      <c r="J105" s="108" t="e">
        <f t="shared" si="113"/>
        <v>#DIV/0!</v>
      </c>
      <c r="K105" s="280"/>
      <c r="L105" s="108" t="e">
        <f t="shared" si="114"/>
        <v>#DIV/0!</v>
      </c>
      <c r="M105" s="280"/>
      <c r="N105" s="108" t="e">
        <f t="shared" si="115"/>
        <v>#DIV/0!</v>
      </c>
      <c r="O105" s="280"/>
      <c r="P105" s="108" t="e">
        <f t="shared" si="116"/>
        <v>#DIV/0!</v>
      </c>
      <c r="Q105" s="280"/>
      <c r="R105" s="108" t="e">
        <f t="shared" si="117"/>
        <v>#DIV/0!</v>
      </c>
      <c r="S105" s="280"/>
      <c r="T105" s="108" t="e">
        <f t="shared" si="96"/>
        <v>#DIV/0!</v>
      </c>
      <c r="U105" s="280"/>
      <c r="V105" s="108" t="e">
        <f t="shared" si="118"/>
        <v>#DIV/0!</v>
      </c>
      <c r="W105" s="280"/>
      <c r="X105" s="108" t="e">
        <f t="shared" si="119"/>
        <v>#DIV/0!</v>
      </c>
      <c r="Y105" s="280"/>
      <c r="Z105" s="108" t="e">
        <f t="shared" si="97"/>
        <v>#DIV/0!</v>
      </c>
      <c r="AA105" s="343">
        <f t="shared" si="120"/>
        <v>0</v>
      </c>
      <c r="AB105" s="341" t="e">
        <f t="shared" si="123"/>
        <v>#DIV/0!</v>
      </c>
      <c r="AC105" s="342">
        <f t="shared" si="94"/>
        <v>0</v>
      </c>
      <c r="AD105" s="341" t="e">
        <f t="shared" si="124"/>
        <v>#DIV/0!</v>
      </c>
      <c r="AE105" s="214"/>
      <c r="AF105" s="54"/>
      <c r="AH105" s="21">
        <f t="shared" si="98"/>
        <v>0</v>
      </c>
    </row>
    <row r="106" spans="1:34" s="289" customFormat="1">
      <c r="A106" s="2">
        <v>6313</v>
      </c>
      <c r="B106" s="2" t="s">
        <v>147</v>
      </c>
      <c r="C106" s="280"/>
      <c r="D106" s="108" t="e">
        <f t="shared" si="110"/>
        <v>#DIV/0!</v>
      </c>
      <c r="E106" s="280"/>
      <c r="F106" s="108" t="e">
        <f t="shared" si="111"/>
        <v>#DIV/0!</v>
      </c>
      <c r="G106" s="280"/>
      <c r="H106" s="108" t="e">
        <f t="shared" si="112"/>
        <v>#DIV/0!</v>
      </c>
      <c r="I106" s="280"/>
      <c r="J106" s="108" t="e">
        <f t="shared" si="113"/>
        <v>#DIV/0!</v>
      </c>
      <c r="K106" s="280"/>
      <c r="L106" s="108" t="e">
        <f t="shared" si="114"/>
        <v>#DIV/0!</v>
      </c>
      <c r="M106" s="280"/>
      <c r="N106" s="108" t="e">
        <f t="shared" si="115"/>
        <v>#DIV/0!</v>
      </c>
      <c r="O106" s="280"/>
      <c r="P106" s="108" t="e">
        <f t="shared" si="116"/>
        <v>#DIV/0!</v>
      </c>
      <c r="Q106" s="280"/>
      <c r="R106" s="108" t="e">
        <f t="shared" si="117"/>
        <v>#DIV/0!</v>
      </c>
      <c r="S106" s="280"/>
      <c r="T106" s="108" t="e">
        <f t="shared" si="96"/>
        <v>#DIV/0!</v>
      </c>
      <c r="U106" s="280"/>
      <c r="V106" s="108" t="e">
        <f t="shared" si="118"/>
        <v>#DIV/0!</v>
      </c>
      <c r="W106" s="280"/>
      <c r="X106" s="108" t="e">
        <f t="shared" si="119"/>
        <v>#DIV/0!</v>
      </c>
      <c r="Y106" s="280"/>
      <c r="Z106" s="108" t="e">
        <f t="shared" si="97"/>
        <v>#DIV/0!</v>
      </c>
      <c r="AA106" s="343">
        <f t="shared" si="120"/>
        <v>0</v>
      </c>
      <c r="AB106" s="341" t="e">
        <f t="shared" si="123"/>
        <v>#DIV/0!</v>
      </c>
      <c r="AC106" s="342">
        <f t="shared" si="94"/>
        <v>0</v>
      </c>
      <c r="AD106" s="341" t="e">
        <f t="shared" si="124"/>
        <v>#DIV/0!</v>
      </c>
      <c r="AE106" s="214"/>
      <c r="AF106" s="54"/>
      <c r="AH106" s="21">
        <f t="shared" si="98"/>
        <v>0</v>
      </c>
    </row>
    <row r="107" spans="1:34" s="289" customFormat="1">
      <c r="A107" s="2">
        <v>6314</v>
      </c>
      <c r="B107" s="2" t="s">
        <v>211</v>
      </c>
      <c r="C107" s="280"/>
      <c r="D107" s="108" t="e">
        <f t="shared" si="110"/>
        <v>#DIV/0!</v>
      </c>
      <c r="E107" s="280"/>
      <c r="F107" s="108" t="e">
        <f t="shared" si="111"/>
        <v>#DIV/0!</v>
      </c>
      <c r="G107" s="280"/>
      <c r="H107" s="108" t="e">
        <f t="shared" si="112"/>
        <v>#DIV/0!</v>
      </c>
      <c r="I107" s="280"/>
      <c r="J107" s="108" t="e">
        <f t="shared" si="113"/>
        <v>#DIV/0!</v>
      </c>
      <c r="K107" s="280"/>
      <c r="L107" s="108" t="e">
        <f t="shared" si="114"/>
        <v>#DIV/0!</v>
      </c>
      <c r="M107" s="280"/>
      <c r="N107" s="108" t="e">
        <f t="shared" si="115"/>
        <v>#DIV/0!</v>
      </c>
      <c r="O107" s="280"/>
      <c r="P107" s="108" t="e">
        <f t="shared" si="116"/>
        <v>#DIV/0!</v>
      </c>
      <c r="Q107" s="280"/>
      <c r="R107" s="108" t="e">
        <f t="shared" si="117"/>
        <v>#DIV/0!</v>
      </c>
      <c r="S107" s="280"/>
      <c r="T107" s="108" t="e">
        <f t="shared" si="96"/>
        <v>#DIV/0!</v>
      </c>
      <c r="U107" s="280"/>
      <c r="V107" s="108" t="e">
        <f t="shared" si="118"/>
        <v>#DIV/0!</v>
      </c>
      <c r="W107" s="280"/>
      <c r="X107" s="108" t="e">
        <f t="shared" si="119"/>
        <v>#DIV/0!</v>
      </c>
      <c r="Y107" s="280"/>
      <c r="Z107" s="108" t="e">
        <f t="shared" si="97"/>
        <v>#DIV/0!</v>
      </c>
      <c r="AA107" s="343">
        <f t="shared" si="120"/>
        <v>0</v>
      </c>
      <c r="AB107" s="341" t="e">
        <f t="shared" si="123"/>
        <v>#DIV/0!</v>
      </c>
      <c r="AC107" s="342">
        <f t="shared" si="94"/>
        <v>0</v>
      </c>
      <c r="AD107" s="341" t="e">
        <f t="shared" si="124"/>
        <v>#DIV/0!</v>
      </c>
      <c r="AE107" s="214"/>
      <c r="AF107" s="54"/>
      <c r="AH107" s="21">
        <f t="shared" si="98"/>
        <v>0</v>
      </c>
    </row>
    <row r="108" spans="1:34" s="289" customFormat="1">
      <c r="A108" s="2">
        <v>6315</v>
      </c>
      <c r="B108" s="2" t="s">
        <v>241</v>
      </c>
      <c r="C108" s="280"/>
      <c r="D108" s="108" t="e">
        <f t="shared" si="110"/>
        <v>#DIV/0!</v>
      </c>
      <c r="E108" s="280"/>
      <c r="F108" s="108" t="e">
        <f t="shared" si="111"/>
        <v>#DIV/0!</v>
      </c>
      <c r="G108" s="280"/>
      <c r="H108" s="108" t="e">
        <f t="shared" si="112"/>
        <v>#DIV/0!</v>
      </c>
      <c r="I108" s="280"/>
      <c r="J108" s="108" t="e">
        <f t="shared" si="113"/>
        <v>#DIV/0!</v>
      </c>
      <c r="K108" s="280"/>
      <c r="L108" s="108" t="e">
        <f t="shared" si="114"/>
        <v>#DIV/0!</v>
      </c>
      <c r="M108" s="280"/>
      <c r="N108" s="108" t="e">
        <f t="shared" si="115"/>
        <v>#DIV/0!</v>
      </c>
      <c r="O108" s="280"/>
      <c r="P108" s="108" t="e">
        <f t="shared" si="116"/>
        <v>#DIV/0!</v>
      </c>
      <c r="Q108" s="280"/>
      <c r="R108" s="108" t="e">
        <f t="shared" si="117"/>
        <v>#DIV/0!</v>
      </c>
      <c r="S108" s="280"/>
      <c r="T108" s="108" t="e">
        <f t="shared" si="96"/>
        <v>#DIV/0!</v>
      </c>
      <c r="U108" s="280"/>
      <c r="V108" s="108" t="e">
        <f t="shared" si="118"/>
        <v>#DIV/0!</v>
      </c>
      <c r="W108" s="280"/>
      <c r="X108" s="108" t="e">
        <f t="shared" si="119"/>
        <v>#DIV/0!</v>
      </c>
      <c r="Y108" s="280"/>
      <c r="Z108" s="108" t="e">
        <f t="shared" si="97"/>
        <v>#DIV/0!</v>
      </c>
      <c r="AA108" s="343">
        <f t="shared" si="120"/>
        <v>0</v>
      </c>
      <c r="AB108" s="341" t="e">
        <f t="shared" si="123"/>
        <v>#DIV/0!</v>
      </c>
      <c r="AC108" s="342">
        <f t="shared" si="94"/>
        <v>0</v>
      </c>
      <c r="AD108" s="341" t="e">
        <f t="shared" si="124"/>
        <v>#DIV/0!</v>
      </c>
      <c r="AE108" s="214"/>
      <c r="AF108" s="54"/>
      <c r="AH108" s="21"/>
    </row>
    <row r="109" spans="1:34" s="289" customFormat="1">
      <c r="A109" s="2">
        <v>6316</v>
      </c>
      <c r="B109" s="2" t="s">
        <v>242</v>
      </c>
      <c r="C109" s="280"/>
      <c r="D109" s="108" t="e">
        <f t="shared" si="110"/>
        <v>#DIV/0!</v>
      </c>
      <c r="E109" s="280"/>
      <c r="F109" s="108" t="e">
        <f t="shared" si="111"/>
        <v>#DIV/0!</v>
      </c>
      <c r="G109" s="280"/>
      <c r="H109" s="108" t="e">
        <f t="shared" si="112"/>
        <v>#DIV/0!</v>
      </c>
      <c r="I109" s="280"/>
      <c r="J109" s="108" t="e">
        <f t="shared" si="113"/>
        <v>#DIV/0!</v>
      </c>
      <c r="K109" s="280"/>
      <c r="L109" s="108" t="e">
        <f t="shared" si="114"/>
        <v>#DIV/0!</v>
      </c>
      <c r="M109" s="280"/>
      <c r="N109" s="108" t="e">
        <f t="shared" si="115"/>
        <v>#DIV/0!</v>
      </c>
      <c r="O109" s="280"/>
      <c r="P109" s="108" t="e">
        <f t="shared" si="116"/>
        <v>#DIV/0!</v>
      </c>
      <c r="Q109" s="280"/>
      <c r="R109" s="108" t="e">
        <f t="shared" si="117"/>
        <v>#DIV/0!</v>
      </c>
      <c r="S109" s="280"/>
      <c r="T109" s="108" t="e">
        <f t="shared" si="96"/>
        <v>#DIV/0!</v>
      </c>
      <c r="U109" s="280"/>
      <c r="V109" s="108" t="e">
        <f t="shared" si="118"/>
        <v>#DIV/0!</v>
      </c>
      <c r="W109" s="280"/>
      <c r="X109" s="108" t="e">
        <f t="shared" si="119"/>
        <v>#DIV/0!</v>
      </c>
      <c r="Y109" s="280"/>
      <c r="Z109" s="108" t="e">
        <f t="shared" si="97"/>
        <v>#DIV/0!</v>
      </c>
      <c r="AA109" s="343">
        <f t="shared" si="120"/>
        <v>0</v>
      </c>
      <c r="AB109" s="341" t="e">
        <f t="shared" si="123"/>
        <v>#DIV/0!</v>
      </c>
      <c r="AC109" s="342">
        <f t="shared" si="94"/>
        <v>0</v>
      </c>
      <c r="AD109" s="341" t="e">
        <f t="shared" si="124"/>
        <v>#DIV/0!</v>
      </c>
      <c r="AE109" s="214"/>
      <c r="AF109" s="54"/>
      <c r="AH109" s="21"/>
    </row>
    <row r="110" spans="1:34" s="289" customFormat="1">
      <c r="A110" s="2">
        <v>6317</v>
      </c>
      <c r="B110" s="2" t="s">
        <v>243</v>
      </c>
      <c r="C110" s="280"/>
      <c r="D110" s="108" t="e">
        <f t="shared" si="110"/>
        <v>#DIV/0!</v>
      </c>
      <c r="E110" s="280"/>
      <c r="F110" s="108" t="e">
        <f t="shared" si="111"/>
        <v>#DIV/0!</v>
      </c>
      <c r="G110" s="280"/>
      <c r="H110" s="108" t="e">
        <f t="shared" si="112"/>
        <v>#DIV/0!</v>
      </c>
      <c r="I110" s="280"/>
      <c r="J110" s="108" t="e">
        <f t="shared" si="113"/>
        <v>#DIV/0!</v>
      </c>
      <c r="K110" s="280"/>
      <c r="L110" s="108" t="e">
        <f t="shared" si="114"/>
        <v>#DIV/0!</v>
      </c>
      <c r="M110" s="280"/>
      <c r="N110" s="108" t="e">
        <f t="shared" si="115"/>
        <v>#DIV/0!</v>
      </c>
      <c r="O110" s="280"/>
      <c r="P110" s="108" t="e">
        <f t="shared" si="116"/>
        <v>#DIV/0!</v>
      </c>
      <c r="Q110" s="280"/>
      <c r="R110" s="108" t="e">
        <f t="shared" si="117"/>
        <v>#DIV/0!</v>
      </c>
      <c r="S110" s="280"/>
      <c r="T110" s="108" t="e">
        <f t="shared" si="96"/>
        <v>#DIV/0!</v>
      </c>
      <c r="U110" s="280"/>
      <c r="V110" s="108" t="e">
        <f t="shared" si="118"/>
        <v>#DIV/0!</v>
      </c>
      <c r="W110" s="280"/>
      <c r="X110" s="108" t="e">
        <f t="shared" si="119"/>
        <v>#DIV/0!</v>
      </c>
      <c r="Y110" s="280"/>
      <c r="Z110" s="108" t="e">
        <f t="shared" si="97"/>
        <v>#DIV/0!</v>
      </c>
      <c r="AA110" s="343">
        <f t="shared" si="120"/>
        <v>0</v>
      </c>
      <c r="AB110" s="341" t="e">
        <f t="shared" si="123"/>
        <v>#DIV/0!</v>
      </c>
      <c r="AC110" s="342">
        <f t="shared" si="94"/>
        <v>0</v>
      </c>
      <c r="AD110" s="341" t="e">
        <f t="shared" si="124"/>
        <v>#DIV/0!</v>
      </c>
      <c r="AE110" s="214"/>
      <c r="AF110" s="54"/>
      <c r="AH110" s="21"/>
    </row>
    <row r="111" spans="1:34" s="289" customFormat="1">
      <c r="A111" s="2">
        <v>6318</v>
      </c>
      <c r="B111" s="2" t="s">
        <v>244</v>
      </c>
      <c r="C111" s="280"/>
      <c r="D111" s="108" t="e">
        <f t="shared" si="110"/>
        <v>#DIV/0!</v>
      </c>
      <c r="E111" s="280"/>
      <c r="F111" s="108" t="e">
        <f t="shared" si="111"/>
        <v>#DIV/0!</v>
      </c>
      <c r="G111" s="280"/>
      <c r="H111" s="108" t="e">
        <f t="shared" si="112"/>
        <v>#DIV/0!</v>
      </c>
      <c r="I111" s="280"/>
      <c r="J111" s="108" t="e">
        <f t="shared" si="113"/>
        <v>#DIV/0!</v>
      </c>
      <c r="K111" s="280"/>
      <c r="L111" s="108" t="e">
        <f t="shared" si="114"/>
        <v>#DIV/0!</v>
      </c>
      <c r="M111" s="280"/>
      <c r="N111" s="108" t="e">
        <f t="shared" si="115"/>
        <v>#DIV/0!</v>
      </c>
      <c r="O111" s="280"/>
      <c r="P111" s="108" t="e">
        <f t="shared" si="116"/>
        <v>#DIV/0!</v>
      </c>
      <c r="Q111" s="280"/>
      <c r="R111" s="108" t="e">
        <f t="shared" si="117"/>
        <v>#DIV/0!</v>
      </c>
      <c r="S111" s="280"/>
      <c r="T111" s="108" t="e">
        <f t="shared" si="96"/>
        <v>#DIV/0!</v>
      </c>
      <c r="U111" s="280"/>
      <c r="V111" s="108" t="e">
        <f t="shared" si="118"/>
        <v>#DIV/0!</v>
      </c>
      <c r="W111" s="280"/>
      <c r="X111" s="108" t="e">
        <f t="shared" si="119"/>
        <v>#DIV/0!</v>
      </c>
      <c r="Y111" s="280"/>
      <c r="Z111" s="108" t="e">
        <f t="shared" si="97"/>
        <v>#DIV/0!</v>
      </c>
      <c r="AA111" s="343">
        <f t="shared" si="120"/>
        <v>0</v>
      </c>
      <c r="AB111" s="341" t="e">
        <f t="shared" si="123"/>
        <v>#DIV/0!</v>
      </c>
      <c r="AC111" s="342">
        <f t="shared" si="94"/>
        <v>0</v>
      </c>
      <c r="AD111" s="341" t="e">
        <f t="shared" si="124"/>
        <v>#DIV/0!</v>
      </c>
      <c r="AE111" s="214"/>
      <c r="AF111" s="54"/>
      <c r="AH111" s="21"/>
    </row>
    <row r="112" spans="1:34" s="289" customFormat="1">
      <c r="A112" s="2">
        <v>6319</v>
      </c>
      <c r="B112" s="2" t="s">
        <v>245</v>
      </c>
      <c r="C112" s="280"/>
      <c r="D112" s="108" t="e">
        <f t="shared" si="110"/>
        <v>#DIV/0!</v>
      </c>
      <c r="E112" s="280"/>
      <c r="F112" s="108" t="e">
        <f t="shared" si="111"/>
        <v>#DIV/0!</v>
      </c>
      <c r="G112" s="280"/>
      <c r="H112" s="108" t="e">
        <f t="shared" si="112"/>
        <v>#DIV/0!</v>
      </c>
      <c r="I112" s="280"/>
      <c r="J112" s="108" t="e">
        <f t="shared" si="113"/>
        <v>#DIV/0!</v>
      </c>
      <c r="K112" s="280"/>
      <c r="L112" s="108" t="e">
        <f t="shared" si="114"/>
        <v>#DIV/0!</v>
      </c>
      <c r="M112" s="280"/>
      <c r="N112" s="108" t="e">
        <f t="shared" si="115"/>
        <v>#DIV/0!</v>
      </c>
      <c r="O112" s="280"/>
      <c r="P112" s="108" t="e">
        <f t="shared" si="116"/>
        <v>#DIV/0!</v>
      </c>
      <c r="Q112" s="280"/>
      <c r="R112" s="108" t="e">
        <f t="shared" si="117"/>
        <v>#DIV/0!</v>
      </c>
      <c r="S112" s="280"/>
      <c r="T112" s="108" t="e">
        <f t="shared" si="96"/>
        <v>#DIV/0!</v>
      </c>
      <c r="U112" s="280"/>
      <c r="V112" s="108" t="e">
        <f t="shared" si="118"/>
        <v>#DIV/0!</v>
      </c>
      <c r="W112" s="280"/>
      <c r="X112" s="108" t="e">
        <f t="shared" si="119"/>
        <v>#DIV/0!</v>
      </c>
      <c r="Y112" s="280"/>
      <c r="Z112" s="108" t="e">
        <f t="shared" si="97"/>
        <v>#DIV/0!</v>
      </c>
      <c r="AA112" s="343">
        <f t="shared" si="120"/>
        <v>0</v>
      </c>
      <c r="AB112" s="341" t="e">
        <f t="shared" si="123"/>
        <v>#DIV/0!</v>
      </c>
      <c r="AC112" s="342">
        <f t="shared" si="94"/>
        <v>0</v>
      </c>
      <c r="AD112" s="341" t="e">
        <f t="shared" si="124"/>
        <v>#DIV/0!</v>
      </c>
      <c r="AE112" s="214"/>
      <c r="AF112" s="54"/>
      <c r="AH112" s="21"/>
    </row>
    <row r="113" spans="1:34" s="289" customFormat="1">
      <c r="A113" s="2">
        <v>6320</v>
      </c>
      <c r="B113" s="2" t="s">
        <v>246</v>
      </c>
      <c r="C113" s="280"/>
      <c r="D113" s="108" t="e">
        <f t="shared" si="110"/>
        <v>#DIV/0!</v>
      </c>
      <c r="E113" s="280"/>
      <c r="F113" s="108" t="e">
        <f t="shared" si="111"/>
        <v>#DIV/0!</v>
      </c>
      <c r="G113" s="280"/>
      <c r="H113" s="108" t="e">
        <f t="shared" si="112"/>
        <v>#DIV/0!</v>
      </c>
      <c r="I113" s="280"/>
      <c r="J113" s="108" t="e">
        <f t="shared" si="113"/>
        <v>#DIV/0!</v>
      </c>
      <c r="K113" s="280"/>
      <c r="L113" s="108" t="e">
        <f t="shared" si="114"/>
        <v>#DIV/0!</v>
      </c>
      <c r="M113" s="280"/>
      <c r="N113" s="108" t="e">
        <f t="shared" si="115"/>
        <v>#DIV/0!</v>
      </c>
      <c r="O113" s="280"/>
      <c r="P113" s="108" t="e">
        <f t="shared" si="116"/>
        <v>#DIV/0!</v>
      </c>
      <c r="Q113" s="280"/>
      <c r="R113" s="108" t="e">
        <f t="shared" si="117"/>
        <v>#DIV/0!</v>
      </c>
      <c r="S113" s="280"/>
      <c r="T113" s="108" t="e">
        <f t="shared" si="96"/>
        <v>#DIV/0!</v>
      </c>
      <c r="U113" s="280"/>
      <c r="V113" s="108" t="e">
        <f t="shared" si="118"/>
        <v>#DIV/0!</v>
      </c>
      <c r="W113" s="280"/>
      <c r="X113" s="108" t="e">
        <f t="shared" si="119"/>
        <v>#DIV/0!</v>
      </c>
      <c r="Y113" s="280"/>
      <c r="Z113" s="108" t="e">
        <f t="shared" si="97"/>
        <v>#DIV/0!</v>
      </c>
      <c r="AA113" s="343">
        <f t="shared" si="120"/>
        <v>0</v>
      </c>
      <c r="AB113" s="341" t="e">
        <f t="shared" si="123"/>
        <v>#DIV/0!</v>
      </c>
      <c r="AC113" s="342">
        <f t="shared" si="94"/>
        <v>0</v>
      </c>
      <c r="AD113" s="341" t="e">
        <f t="shared" si="124"/>
        <v>#DIV/0!</v>
      </c>
      <c r="AE113" s="214"/>
      <c r="AF113" s="54"/>
      <c r="AH113" s="21"/>
    </row>
    <row r="114" spans="1:34" s="289" customFormat="1">
      <c r="A114" s="2">
        <v>6321</v>
      </c>
      <c r="B114" s="2" t="s">
        <v>247</v>
      </c>
      <c r="C114" s="350"/>
      <c r="D114" s="351" t="e">
        <f t="shared" si="110"/>
        <v>#DIV/0!</v>
      </c>
      <c r="E114" s="350"/>
      <c r="F114" s="351" t="e">
        <f t="shared" si="111"/>
        <v>#DIV/0!</v>
      </c>
      <c r="G114" s="350"/>
      <c r="H114" s="351" t="e">
        <f t="shared" si="112"/>
        <v>#DIV/0!</v>
      </c>
      <c r="I114" s="350"/>
      <c r="J114" s="351" t="e">
        <f t="shared" si="113"/>
        <v>#DIV/0!</v>
      </c>
      <c r="K114" s="350"/>
      <c r="L114" s="351" t="e">
        <f t="shared" si="114"/>
        <v>#DIV/0!</v>
      </c>
      <c r="M114" s="350"/>
      <c r="N114" s="351" t="e">
        <f t="shared" si="115"/>
        <v>#DIV/0!</v>
      </c>
      <c r="O114" s="350"/>
      <c r="P114" s="351" t="e">
        <f t="shared" si="116"/>
        <v>#DIV/0!</v>
      </c>
      <c r="Q114" s="350"/>
      <c r="R114" s="351" t="e">
        <f t="shared" si="117"/>
        <v>#DIV/0!</v>
      </c>
      <c r="S114" s="350"/>
      <c r="T114" s="351" t="e">
        <f t="shared" si="96"/>
        <v>#DIV/0!</v>
      </c>
      <c r="U114" s="350"/>
      <c r="V114" s="351" t="e">
        <f t="shared" si="118"/>
        <v>#DIV/0!</v>
      </c>
      <c r="W114" s="350"/>
      <c r="X114" s="351" t="e">
        <f t="shared" si="119"/>
        <v>#DIV/0!</v>
      </c>
      <c r="Y114" s="350"/>
      <c r="Z114" s="351" t="e">
        <f t="shared" si="97"/>
        <v>#DIV/0!</v>
      </c>
      <c r="AA114" s="343">
        <f t="shared" si="120"/>
        <v>0</v>
      </c>
      <c r="AB114" s="341" t="e">
        <f t="shared" si="123"/>
        <v>#DIV/0!</v>
      </c>
      <c r="AC114" s="342">
        <f t="shared" si="94"/>
        <v>0</v>
      </c>
      <c r="AD114" s="341" t="e">
        <f t="shared" si="124"/>
        <v>#DIV/0!</v>
      </c>
      <c r="AE114" s="214"/>
      <c r="AF114" s="54"/>
      <c r="AH114" s="21"/>
    </row>
    <row r="115" spans="1:34" s="289" customFormat="1" ht="15.75" thickBot="1">
      <c r="A115" s="4">
        <v>6399</v>
      </c>
      <c r="B115" s="4" t="s">
        <v>115</v>
      </c>
      <c r="C115" s="344">
        <f>SUM(C94:C114)</f>
        <v>0</v>
      </c>
      <c r="D115" s="345" t="e">
        <f>C115/C12</f>
        <v>#DIV/0!</v>
      </c>
      <c r="E115" s="344">
        <f>SUM(E94:E114)</f>
        <v>0</v>
      </c>
      <c r="F115" s="345" t="e">
        <f>E115/E12</f>
        <v>#DIV/0!</v>
      </c>
      <c r="G115" s="344">
        <f>SUM(G94:G114)</f>
        <v>0</v>
      </c>
      <c r="H115" s="345" t="e">
        <f>G115/G12</f>
        <v>#DIV/0!</v>
      </c>
      <c r="I115" s="344">
        <f>SUM(I94:I114)</f>
        <v>0</v>
      </c>
      <c r="J115" s="345" t="e">
        <f>I115/I12</f>
        <v>#DIV/0!</v>
      </c>
      <c r="K115" s="344">
        <f>SUM(K94:K114)</f>
        <v>0</v>
      </c>
      <c r="L115" s="345" t="e">
        <f>K115/K12</f>
        <v>#DIV/0!</v>
      </c>
      <c r="M115" s="344">
        <f>SUM(M94:M114)</f>
        <v>0</v>
      </c>
      <c r="N115" s="345" t="e">
        <f>M115/M12</f>
        <v>#DIV/0!</v>
      </c>
      <c r="O115" s="344">
        <f>SUM(O94:O114)</f>
        <v>0</v>
      </c>
      <c r="P115" s="345" t="e">
        <f>O115/O12</f>
        <v>#DIV/0!</v>
      </c>
      <c r="Q115" s="344">
        <f>SUM(Q94:Q114)</f>
        <v>0</v>
      </c>
      <c r="R115" s="345" t="e">
        <f>Q115/Q12</f>
        <v>#DIV/0!</v>
      </c>
      <c r="S115" s="344">
        <f>SUM(S94:S114)</f>
        <v>0</v>
      </c>
      <c r="T115" s="345" t="e">
        <f>S115/S12</f>
        <v>#DIV/0!</v>
      </c>
      <c r="U115" s="344">
        <f>SUM(U94:U114)</f>
        <v>0</v>
      </c>
      <c r="V115" s="345" t="e">
        <f>U115/U12</f>
        <v>#DIV/0!</v>
      </c>
      <c r="W115" s="344">
        <f>SUM(W94:W114)</f>
        <v>0</v>
      </c>
      <c r="X115" s="345" t="e">
        <f>W115/W12</f>
        <v>#DIV/0!</v>
      </c>
      <c r="Y115" s="344">
        <f>SUM(Y94:Y114)</f>
        <v>0</v>
      </c>
      <c r="Z115" s="345" t="e">
        <f>Y115/Y12</f>
        <v>#DIV/0!</v>
      </c>
      <c r="AA115" s="344">
        <f>SUM(AA94:AA114)</f>
        <v>0</v>
      </c>
      <c r="AB115" s="345" t="e">
        <f>AA115/AA12</f>
        <v>#DIV/0!</v>
      </c>
      <c r="AC115" s="346">
        <f t="shared" si="94"/>
        <v>0</v>
      </c>
      <c r="AD115" s="345" t="e">
        <f>AC115/AC12</f>
        <v>#DIV/0!</v>
      </c>
      <c r="AE115" s="218"/>
      <c r="AF115" s="219"/>
      <c r="AG115" s="209"/>
      <c r="AH115" s="21">
        <f t="shared" si="98"/>
        <v>0</v>
      </c>
    </row>
    <row r="116" spans="1:34" s="289" customFormat="1" ht="15.75" thickTop="1">
      <c r="A116" s="20">
        <v>6401</v>
      </c>
      <c r="B116" s="20" t="s">
        <v>89</v>
      </c>
      <c r="C116" s="175"/>
      <c r="D116" s="49" t="e">
        <f t="shared" ref="D116:R123" si="125">C116/C$12</f>
        <v>#DIV/0!</v>
      </c>
      <c r="E116" s="175"/>
      <c r="F116" s="146" t="e">
        <f t="shared" ref="F116:F121" si="126">E116/E$12</f>
        <v>#DIV/0!</v>
      </c>
      <c r="G116" s="175"/>
      <c r="H116" s="49" t="e">
        <f t="shared" ref="H116:H121" si="127">G116/G$12</f>
        <v>#DIV/0!</v>
      </c>
      <c r="I116" s="175"/>
      <c r="J116" s="146" t="e">
        <f t="shared" ref="J116:J121" si="128">I116/I$12</f>
        <v>#DIV/0!</v>
      </c>
      <c r="K116" s="175"/>
      <c r="L116" s="49" t="e">
        <f t="shared" ref="L116:L121" si="129">K116/K$12</f>
        <v>#DIV/0!</v>
      </c>
      <c r="M116" s="175"/>
      <c r="N116" s="146" t="e">
        <f t="shared" ref="N116:N121" si="130">M116/M$12</f>
        <v>#DIV/0!</v>
      </c>
      <c r="O116" s="175"/>
      <c r="P116" s="146" t="e">
        <f t="shared" ref="P116:P121" si="131">O116/O$12</f>
        <v>#DIV/0!</v>
      </c>
      <c r="Q116" s="175"/>
      <c r="R116" s="146" t="e">
        <f t="shared" ref="R116:R121" si="132">Q116/Q$12</f>
        <v>#DIV/0!</v>
      </c>
      <c r="S116" s="175"/>
      <c r="T116" s="146" t="e">
        <f t="shared" si="96"/>
        <v>#DIV/0!</v>
      </c>
      <c r="U116" s="175"/>
      <c r="V116" s="146" t="e">
        <f t="shared" ref="V116:V121" si="133">U116/U$12</f>
        <v>#DIV/0!</v>
      </c>
      <c r="W116" s="175"/>
      <c r="X116" s="146" t="e">
        <f t="shared" ref="X116:X121" si="134">W116/W$12</f>
        <v>#DIV/0!</v>
      </c>
      <c r="Y116" s="175"/>
      <c r="Z116" s="146" t="e">
        <f t="shared" si="97"/>
        <v>#DIV/0!</v>
      </c>
      <c r="AA116" s="105">
        <f t="shared" ref="AA116:AA127" si="135">C116+E116+G116+I116+K116+M116+O116+Q116+S116+U116+W116+Y116</f>
        <v>0</v>
      </c>
      <c r="AB116" s="108" t="e">
        <f t="shared" ref="AB116:AB121" si="136">AA116/AA$12</f>
        <v>#DIV/0!</v>
      </c>
      <c r="AC116" s="89">
        <f t="shared" si="94"/>
        <v>0</v>
      </c>
      <c r="AD116" s="92" t="e">
        <f t="shared" ref="AD116:AD121" si="137">AC116/AC$12</f>
        <v>#DIV/0!</v>
      </c>
      <c r="AE116" s="214"/>
      <c r="AF116" s="54"/>
      <c r="AH116" s="21">
        <f t="shared" si="98"/>
        <v>0</v>
      </c>
    </row>
    <row r="117" spans="1:34" s="5" customFormat="1">
      <c r="A117" s="128">
        <v>6402</v>
      </c>
      <c r="B117" s="20" t="s">
        <v>75</v>
      </c>
      <c r="C117" s="176"/>
      <c r="D117" s="49" t="e">
        <f t="shared" si="125"/>
        <v>#DIV/0!</v>
      </c>
      <c r="E117" s="176"/>
      <c r="F117" s="49" t="e">
        <f t="shared" si="126"/>
        <v>#DIV/0!</v>
      </c>
      <c r="G117" s="176"/>
      <c r="H117" s="49" t="e">
        <f t="shared" si="127"/>
        <v>#DIV/0!</v>
      </c>
      <c r="I117" s="176"/>
      <c r="J117" s="49" t="e">
        <f t="shared" si="128"/>
        <v>#DIV/0!</v>
      </c>
      <c r="K117" s="176"/>
      <c r="L117" s="49" t="e">
        <f t="shared" si="129"/>
        <v>#DIV/0!</v>
      </c>
      <c r="M117" s="176"/>
      <c r="N117" s="49" t="e">
        <f t="shared" si="130"/>
        <v>#DIV/0!</v>
      </c>
      <c r="O117" s="176"/>
      <c r="P117" s="49" t="e">
        <f t="shared" si="131"/>
        <v>#DIV/0!</v>
      </c>
      <c r="Q117" s="176"/>
      <c r="R117" s="49" t="e">
        <f t="shared" si="132"/>
        <v>#DIV/0!</v>
      </c>
      <c r="S117" s="176"/>
      <c r="T117" s="49" t="e">
        <f t="shared" si="96"/>
        <v>#DIV/0!</v>
      </c>
      <c r="U117" s="176"/>
      <c r="V117" s="49" t="e">
        <f t="shared" si="133"/>
        <v>#DIV/0!</v>
      </c>
      <c r="W117" s="176"/>
      <c r="X117" s="49" t="e">
        <f t="shared" si="134"/>
        <v>#DIV/0!</v>
      </c>
      <c r="Y117" s="176"/>
      <c r="Z117" s="49" t="e">
        <f t="shared" si="97"/>
        <v>#DIV/0!</v>
      </c>
      <c r="AA117" s="105">
        <f t="shared" si="135"/>
        <v>0</v>
      </c>
      <c r="AB117" s="49" t="e">
        <f t="shared" si="136"/>
        <v>#DIV/0!</v>
      </c>
      <c r="AC117" s="124">
        <f t="shared" si="94"/>
        <v>0</v>
      </c>
      <c r="AD117" s="49" t="e">
        <f t="shared" si="137"/>
        <v>#DIV/0!</v>
      </c>
      <c r="AE117" s="144"/>
      <c r="AF117" s="54"/>
      <c r="AH117" s="21">
        <f t="shared" si="98"/>
        <v>0</v>
      </c>
    </row>
    <row r="118" spans="1:34" s="289" customFormat="1">
      <c r="A118" s="2">
        <v>6404</v>
      </c>
      <c r="B118" s="147" t="s">
        <v>92</v>
      </c>
      <c r="C118" s="176"/>
      <c r="D118" s="49" t="e">
        <f t="shared" si="125"/>
        <v>#DIV/0!</v>
      </c>
      <c r="E118" s="176"/>
      <c r="F118" s="49" t="e">
        <f t="shared" si="126"/>
        <v>#DIV/0!</v>
      </c>
      <c r="G118" s="176"/>
      <c r="H118" s="49" t="e">
        <f t="shared" si="127"/>
        <v>#DIV/0!</v>
      </c>
      <c r="I118" s="176"/>
      <c r="J118" s="49" t="e">
        <f t="shared" si="128"/>
        <v>#DIV/0!</v>
      </c>
      <c r="K118" s="176"/>
      <c r="L118" s="49" t="e">
        <f t="shared" si="129"/>
        <v>#DIV/0!</v>
      </c>
      <c r="M118" s="176"/>
      <c r="N118" s="49" t="e">
        <f t="shared" si="130"/>
        <v>#DIV/0!</v>
      </c>
      <c r="O118" s="176"/>
      <c r="P118" s="49" t="e">
        <f t="shared" si="131"/>
        <v>#DIV/0!</v>
      </c>
      <c r="Q118" s="176"/>
      <c r="R118" s="49" t="e">
        <f t="shared" si="132"/>
        <v>#DIV/0!</v>
      </c>
      <c r="S118" s="176"/>
      <c r="T118" s="49" t="e">
        <f t="shared" si="96"/>
        <v>#DIV/0!</v>
      </c>
      <c r="U118" s="176"/>
      <c r="V118" s="49" t="e">
        <f t="shared" si="133"/>
        <v>#DIV/0!</v>
      </c>
      <c r="W118" s="176"/>
      <c r="X118" s="49" t="e">
        <f t="shared" si="134"/>
        <v>#DIV/0!</v>
      </c>
      <c r="Y118" s="176"/>
      <c r="Z118" s="49" t="e">
        <f t="shared" si="97"/>
        <v>#DIV/0!</v>
      </c>
      <c r="AA118" s="105">
        <f t="shared" si="135"/>
        <v>0</v>
      </c>
      <c r="AB118" s="108" t="e">
        <f t="shared" si="136"/>
        <v>#DIV/0!</v>
      </c>
      <c r="AC118" s="124">
        <f t="shared" si="94"/>
        <v>0</v>
      </c>
      <c r="AD118" s="92" t="e">
        <f t="shared" si="137"/>
        <v>#DIV/0!</v>
      </c>
      <c r="AE118" s="214"/>
      <c r="AF118" s="54"/>
      <c r="AH118" s="21">
        <f t="shared" si="98"/>
        <v>0</v>
      </c>
    </row>
    <row r="119" spans="1:34" s="289" customFormat="1">
      <c r="A119" s="2">
        <v>6406</v>
      </c>
      <c r="B119" s="147" t="s">
        <v>72</v>
      </c>
      <c r="C119" s="62"/>
      <c r="D119" s="49" t="e">
        <f t="shared" si="125"/>
        <v>#DIV/0!</v>
      </c>
      <c r="E119" s="62"/>
      <c r="F119" s="49" t="e">
        <f t="shared" si="126"/>
        <v>#DIV/0!</v>
      </c>
      <c r="G119" s="62"/>
      <c r="H119" s="49" t="e">
        <f t="shared" si="127"/>
        <v>#DIV/0!</v>
      </c>
      <c r="I119" s="62"/>
      <c r="J119" s="49" t="e">
        <f t="shared" si="128"/>
        <v>#DIV/0!</v>
      </c>
      <c r="K119" s="62"/>
      <c r="L119" s="49" t="e">
        <f t="shared" si="129"/>
        <v>#DIV/0!</v>
      </c>
      <c r="M119" s="62"/>
      <c r="N119" s="49" t="e">
        <f t="shared" si="130"/>
        <v>#DIV/0!</v>
      </c>
      <c r="O119" s="62"/>
      <c r="P119" s="49" t="e">
        <f t="shared" si="131"/>
        <v>#DIV/0!</v>
      </c>
      <c r="Q119" s="62"/>
      <c r="R119" s="49" t="e">
        <f t="shared" si="132"/>
        <v>#DIV/0!</v>
      </c>
      <c r="S119" s="62"/>
      <c r="T119" s="49" t="e">
        <f t="shared" si="96"/>
        <v>#DIV/0!</v>
      </c>
      <c r="U119" s="62"/>
      <c r="V119" s="49" t="e">
        <f t="shared" si="133"/>
        <v>#DIV/0!</v>
      </c>
      <c r="W119" s="62"/>
      <c r="X119" s="49" t="e">
        <f t="shared" si="134"/>
        <v>#DIV/0!</v>
      </c>
      <c r="Y119" s="62"/>
      <c r="Z119" s="49" t="e">
        <f t="shared" si="97"/>
        <v>#DIV/0!</v>
      </c>
      <c r="AA119" s="105">
        <f t="shared" si="135"/>
        <v>0</v>
      </c>
      <c r="AB119" s="108" t="e">
        <f t="shared" si="136"/>
        <v>#DIV/0!</v>
      </c>
      <c r="AC119" s="124">
        <f t="shared" si="94"/>
        <v>0</v>
      </c>
      <c r="AD119" s="92" t="e">
        <f t="shared" si="137"/>
        <v>#DIV/0!</v>
      </c>
      <c r="AE119" s="214"/>
      <c r="AF119" s="54"/>
      <c r="AH119" s="21">
        <f t="shared" si="98"/>
        <v>0</v>
      </c>
    </row>
    <row r="120" spans="1:34" s="289" customFormat="1">
      <c r="A120" s="2">
        <v>6407</v>
      </c>
      <c r="B120" s="147" t="s">
        <v>73</v>
      </c>
      <c r="C120" s="62"/>
      <c r="D120" s="49" t="e">
        <f t="shared" si="125"/>
        <v>#DIV/0!</v>
      </c>
      <c r="E120" s="62"/>
      <c r="F120" s="49" t="e">
        <f t="shared" si="126"/>
        <v>#DIV/0!</v>
      </c>
      <c r="G120" s="62"/>
      <c r="H120" s="49" t="e">
        <f t="shared" si="127"/>
        <v>#DIV/0!</v>
      </c>
      <c r="I120" s="62"/>
      <c r="J120" s="49" t="e">
        <f t="shared" si="128"/>
        <v>#DIV/0!</v>
      </c>
      <c r="K120" s="62"/>
      <c r="L120" s="49" t="e">
        <f t="shared" si="129"/>
        <v>#DIV/0!</v>
      </c>
      <c r="M120" s="62"/>
      <c r="N120" s="49" t="e">
        <f t="shared" si="130"/>
        <v>#DIV/0!</v>
      </c>
      <c r="O120" s="62"/>
      <c r="P120" s="49" t="e">
        <f t="shared" si="131"/>
        <v>#DIV/0!</v>
      </c>
      <c r="Q120" s="62"/>
      <c r="R120" s="49" t="e">
        <f t="shared" si="132"/>
        <v>#DIV/0!</v>
      </c>
      <c r="S120" s="62"/>
      <c r="T120" s="49" t="e">
        <f t="shared" si="96"/>
        <v>#DIV/0!</v>
      </c>
      <c r="U120" s="62"/>
      <c r="V120" s="49" t="e">
        <f t="shared" si="133"/>
        <v>#DIV/0!</v>
      </c>
      <c r="W120" s="62"/>
      <c r="X120" s="49" t="e">
        <f t="shared" si="134"/>
        <v>#DIV/0!</v>
      </c>
      <c r="Y120" s="62"/>
      <c r="Z120" s="49" t="e">
        <f t="shared" si="97"/>
        <v>#DIV/0!</v>
      </c>
      <c r="AA120" s="105">
        <f t="shared" si="135"/>
        <v>0</v>
      </c>
      <c r="AB120" s="108" t="e">
        <f t="shared" si="136"/>
        <v>#DIV/0!</v>
      </c>
      <c r="AC120" s="124">
        <f t="shared" si="94"/>
        <v>0</v>
      </c>
      <c r="AD120" s="92" t="e">
        <f t="shared" si="137"/>
        <v>#DIV/0!</v>
      </c>
      <c r="AE120" s="214"/>
      <c r="AF120" s="54"/>
      <c r="AH120" s="21">
        <f t="shared" si="98"/>
        <v>0</v>
      </c>
    </row>
    <row r="121" spans="1:34" s="289" customFormat="1">
      <c r="A121" s="2">
        <v>6408</v>
      </c>
      <c r="B121" s="147" t="s">
        <v>42</v>
      </c>
      <c r="C121" s="62"/>
      <c r="D121" s="49" t="e">
        <f t="shared" si="125"/>
        <v>#DIV/0!</v>
      </c>
      <c r="E121" s="62"/>
      <c r="F121" s="49" t="e">
        <f t="shared" si="126"/>
        <v>#DIV/0!</v>
      </c>
      <c r="G121" s="62"/>
      <c r="H121" s="49" t="e">
        <f t="shared" si="127"/>
        <v>#DIV/0!</v>
      </c>
      <c r="I121" s="62"/>
      <c r="J121" s="49" t="e">
        <f t="shared" si="128"/>
        <v>#DIV/0!</v>
      </c>
      <c r="K121" s="62"/>
      <c r="L121" s="49" t="e">
        <f t="shared" si="129"/>
        <v>#DIV/0!</v>
      </c>
      <c r="M121" s="62"/>
      <c r="N121" s="49" t="e">
        <f t="shared" si="130"/>
        <v>#DIV/0!</v>
      </c>
      <c r="O121" s="62"/>
      <c r="P121" s="49" t="e">
        <f t="shared" si="131"/>
        <v>#DIV/0!</v>
      </c>
      <c r="Q121" s="62"/>
      <c r="R121" s="49" t="e">
        <f t="shared" si="132"/>
        <v>#DIV/0!</v>
      </c>
      <c r="S121" s="62"/>
      <c r="T121" s="49" t="e">
        <f t="shared" si="96"/>
        <v>#DIV/0!</v>
      </c>
      <c r="U121" s="62"/>
      <c r="V121" s="49" t="e">
        <f t="shared" si="133"/>
        <v>#DIV/0!</v>
      </c>
      <c r="W121" s="62"/>
      <c r="X121" s="49" t="e">
        <f t="shared" si="134"/>
        <v>#DIV/0!</v>
      </c>
      <c r="Y121" s="62"/>
      <c r="Z121" s="49" t="e">
        <f t="shared" si="97"/>
        <v>#DIV/0!</v>
      </c>
      <c r="AA121" s="105">
        <f t="shared" si="135"/>
        <v>0</v>
      </c>
      <c r="AB121" s="108" t="e">
        <f t="shared" si="136"/>
        <v>#DIV/0!</v>
      </c>
      <c r="AC121" s="124">
        <f t="shared" si="94"/>
        <v>0</v>
      </c>
      <c r="AD121" s="92" t="e">
        <f t="shared" si="137"/>
        <v>#DIV/0!</v>
      </c>
      <c r="AE121" s="214"/>
      <c r="AF121" s="54"/>
      <c r="AH121" s="21">
        <f t="shared" si="98"/>
        <v>0</v>
      </c>
    </row>
    <row r="122" spans="1:34" s="289" customFormat="1">
      <c r="A122" s="2">
        <v>6410</v>
      </c>
      <c r="B122" s="147" t="s">
        <v>105</v>
      </c>
      <c r="C122" s="62"/>
      <c r="D122" s="49" t="e">
        <f t="shared" si="125"/>
        <v>#DIV/0!</v>
      </c>
      <c r="E122" s="62"/>
      <c r="F122" s="49" t="e">
        <f t="shared" si="125"/>
        <v>#DIV/0!</v>
      </c>
      <c r="G122" s="62"/>
      <c r="H122" s="49" t="e">
        <f t="shared" si="125"/>
        <v>#DIV/0!</v>
      </c>
      <c r="I122" s="62"/>
      <c r="J122" s="49" t="e">
        <f t="shared" si="125"/>
        <v>#DIV/0!</v>
      </c>
      <c r="K122" s="62"/>
      <c r="L122" s="49" t="e">
        <f t="shared" si="125"/>
        <v>#DIV/0!</v>
      </c>
      <c r="M122" s="62"/>
      <c r="N122" s="49" t="e">
        <f t="shared" si="125"/>
        <v>#DIV/0!</v>
      </c>
      <c r="O122" s="62"/>
      <c r="P122" s="49" t="e">
        <f t="shared" si="125"/>
        <v>#DIV/0!</v>
      </c>
      <c r="Q122" s="62"/>
      <c r="R122" s="49" t="e">
        <f t="shared" si="125"/>
        <v>#DIV/0!</v>
      </c>
      <c r="S122" s="62"/>
      <c r="T122" s="49" t="e">
        <f t="shared" si="96"/>
        <v>#DIV/0!</v>
      </c>
      <c r="U122" s="62"/>
      <c r="V122" s="49" t="e">
        <f t="shared" si="96"/>
        <v>#DIV/0!</v>
      </c>
      <c r="W122" s="62"/>
      <c r="X122" s="49" t="e">
        <f t="shared" si="96"/>
        <v>#DIV/0!</v>
      </c>
      <c r="Y122" s="62"/>
      <c r="Z122" s="49" t="e">
        <f t="shared" si="96"/>
        <v>#DIV/0!</v>
      </c>
      <c r="AA122" s="105">
        <f t="shared" si="135"/>
        <v>0</v>
      </c>
      <c r="AB122" s="108"/>
      <c r="AC122" s="124">
        <f t="shared" si="94"/>
        <v>0</v>
      </c>
      <c r="AD122" s="92"/>
      <c r="AE122" s="214"/>
      <c r="AF122" s="54"/>
      <c r="AH122" s="21">
        <f t="shared" si="98"/>
        <v>0</v>
      </c>
    </row>
    <row r="123" spans="1:34" s="289" customFormat="1">
      <c r="A123" s="2">
        <v>6411</v>
      </c>
      <c r="B123" s="147" t="s">
        <v>117</v>
      </c>
      <c r="C123" s="62"/>
      <c r="D123" s="49" t="e">
        <f t="shared" si="125"/>
        <v>#DIV/0!</v>
      </c>
      <c r="E123" s="62"/>
      <c r="F123" s="49" t="e">
        <f t="shared" si="125"/>
        <v>#DIV/0!</v>
      </c>
      <c r="G123" s="62"/>
      <c r="H123" s="49" t="e">
        <f t="shared" si="125"/>
        <v>#DIV/0!</v>
      </c>
      <c r="I123" s="62"/>
      <c r="J123" s="49" t="e">
        <f t="shared" si="125"/>
        <v>#DIV/0!</v>
      </c>
      <c r="K123" s="62"/>
      <c r="L123" s="49" t="e">
        <f t="shared" si="125"/>
        <v>#DIV/0!</v>
      </c>
      <c r="M123" s="62"/>
      <c r="N123" s="49" t="e">
        <f t="shared" si="125"/>
        <v>#DIV/0!</v>
      </c>
      <c r="O123" s="62"/>
      <c r="P123" s="49" t="e">
        <f t="shared" si="125"/>
        <v>#DIV/0!</v>
      </c>
      <c r="Q123" s="62"/>
      <c r="R123" s="49" t="e">
        <f t="shared" si="125"/>
        <v>#DIV/0!</v>
      </c>
      <c r="S123" s="62"/>
      <c r="T123" s="49" t="e">
        <f t="shared" ref="T123:Z123" si="138">S123/S$12</f>
        <v>#DIV/0!</v>
      </c>
      <c r="U123" s="62"/>
      <c r="V123" s="49" t="e">
        <f t="shared" si="138"/>
        <v>#DIV/0!</v>
      </c>
      <c r="W123" s="62"/>
      <c r="X123" s="49" t="e">
        <f t="shared" si="138"/>
        <v>#DIV/0!</v>
      </c>
      <c r="Y123" s="62"/>
      <c r="Z123" s="49" t="e">
        <f t="shared" si="138"/>
        <v>#DIV/0!</v>
      </c>
      <c r="AA123" s="105">
        <f t="shared" si="135"/>
        <v>0</v>
      </c>
      <c r="AB123" s="108"/>
      <c r="AC123" s="124">
        <f t="shared" si="94"/>
        <v>0</v>
      </c>
      <c r="AD123" s="92"/>
      <c r="AE123" s="214"/>
      <c r="AF123" s="54"/>
      <c r="AH123" s="21">
        <f t="shared" si="98"/>
        <v>0</v>
      </c>
    </row>
    <row r="124" spans="1:34" s="289" customFormat="1">
      <c r="A124" s="2">
        <v>6412</v>
      </c>
      <c r="B124" s="147" t="s">
        <v>93</v>
      </c>
      <c r="C124" s="62"/>
      <c r="D124" s="49" t="e">
        <f>C124/C$12</f>
        <v>#DIV/0!</v>
      </c>
      <c r="E124" s="62"/>
      <c r="F124" s="49" t="e">
        <f>E124/E$12</f>
        <v>#DIV/0!</v>
      </c>
      <c r="G124" s="62"/>
      <c r="H124" s="49" t="e">
        <f>G124/G$12</f>
        <v>#DIV/0!</v>
      </c>
      <c r="I124" s="62"/>
      <c r="J124" s="49" t="e">
        <f>I124/I$12</f>
        <v>#DIV/0!</v>
      </c>
      <c r="K124" s="62"/>
      <c r="L124" s="49" t="e">
        <f>K124/K$12</f>
        <v>#DIV/0!</v>
      </c>
      <c r="M124" s="62"/>
      <c r="N124" s="49" t="e">
        <f>M124/M$12</f>
        <v>#DIV/0!</v>
      </c>
      <c r="O124" s="62"/>
      <c r="P124" s="49" t="e">
        <f>O124/O$12</f>
        <v>#DIV/0!</v>
      </c>
      <c r="Q124" s="62"/>
      <c r="R124" s="49" t="e">
        <f>Q124/Q$12</f>
        <v>#DIV/0!</v>
      </c>
      <c r="S124" s="62"/>
      <c r="T124" s="49" t="e">
        <f>S124/S$12</f>
        <v>#DIV/0!</v>
      </c>
      <c r="U124" s="62"/>
      <c r="V124" s="49" t="e">
        <f>U124/U$12</f>
        <v>#DIV/0!</v>
      </c>
      <c r="W124" s="62"/>
      <c r="X124" s="49" t="e">
        <f>W124/W$12</f>
        <v>#DIV/0!</v>
      </c>
      <c r="Y124" s="62"/>
      <c r="Z124" s="49" t="e">
        <f>Y124/Y$12</f>
        <v>#DIV/0!</v>
      </c>
      <c r="AA124" s="105">
        <f t="shared" si="135"/>
        <v>0</v>
      </c>
      <c r="AB124" s="108" t="e">
        <f>AA124/AA$12</f>
        <v>#DIV/0!</v>
      </c>
      <c r="AC124" s="124">
        <f t="shared" si="94"/>
        <v>0</v>
      </c>
      <c r="AD124" s="92" t="e">
        <f>AC124/AC$12</f>
        <v>#DIV/0!</v>
      </c>
      <c r="AE124" s="214"/>
      <c r="AF124" s="54"/>
      <c r="AH124" s="21">
        <f t="shared" si="98"/>
        <v>0</v>
      </c>
    </row>
    <row r="125" spans="1:34" s="289" customFormat="1">
      <c r="A125" s="128">
        <v>6413</v>
      </c>
      <c r="B125" s="20" t="s">
        <v>41</v>
      </c>
      <c r="C125" s="62"/>
      <c r="D125" s="49" t="e">
        <f>C125/C$12</f>
        <v>#DIV/0!</v>
      </c>
      <c r="E125" s="62"/>
      <c r="F125" s="49" t="e">
        <f>E125/E$12</f>
        <v>#DIV/0!</v>
      </c>
      <c r="G125" s="62"/>
      <c r="H125" s="49" t="e">
        <f>G125/G$12</f>
        <v>#DIV/0!</v>
      </c>
      <c r="I125" s="62"/>
      <c r="J125" s="49" t="e">
        <f>I125/I$12</f>
        <v>#DIV/0!</v>
      </c>
      <c r="K125" s="62"/>
      <c r="L125" s="49" t="e">
        <f>K125/K$12</f>
        <v>#DIV/0!</v>
      </c>
      <c r="M125" s="62"/>
      <c r="N125" s="49" t="e">
        <f>M125/M$12</f>
        <v>#DIV/0!</v>
      </c>
      <c r="O125" s="62"/>
      <c r="P125" s="49" t="e">
        <f>O125/O$12</f>
        <v>#DIV/0!</v>
      </c>
      <c r="Q125" s="62"/>
      <c r="R125" s="49" t="e">
        <f>Q125/Q$12</f>
        <v>#DIV/0!</v>
      </c>
      <c r="S125" s="62"/>
      <c r="T125" s="49" t="e">
        <f>S125/S$12</f>
        <v>#DIV/0!</v>
      </c>
      <c r="U125" s="62"/>
      <c r="V125" s="49" t="e">
        <f>U125/U$12</f>
        <v>#DIV/0!</v>
      </c>
      <c r="W125" s="62"/>
      <c r="X125" s="49" t="e">
        <f>W125/W$12</f>
        <v>#DIV/0!</v>
      </c>
      <c r="Y125" s="62"/>
      <c r="Z125" s="49" t="e">
        <f>Y125/Y$12</f>
        <v>#DIV/0!</v>
      </c>
      <c r="AA125" s="105">
        <f t="shared" si="135"/>
        <v>0</v>
      </c>
      <c r="AB125" s="108" t="e">
        <f>AA125/AA$12</f>
        <v>#DIV/0!</v>
      </c>
      <c r="AC125" s="124">
        <f t="shared" si="94"/>
        <v>0</v>
      </c>
      <c r="AD125" s="92" t="e">
        <f>AC125/AC$12</f>
        <v>#DIV/0!</v>
      </c>
      <c r="AE125" s="214" t="s">
        <v>182</v>
      </c>
      <c r="AF125" s="205"/>
      <c r="AH125" s="21">
        <f t="shared" si="98"/>
        <v>0</v>
      </c>
    </row>
    <row r="126" spans="1:34" s="289" customFormat="1">
      <c r="A126" s="2">
        <v>6414</v>
      </c>
      <c r="B126" s="147" t="s">
        <v>43</v>
      </c>
      <c r="C126" s="62"/>
      <c r="D126" s="49" t="e">
        <f>C126/C$12</f>
        <v>#DIV/0!</v>
      </c>
      <c r="E126" s="62"/>
      <c r="F126" s="49" t="e">
        <f>E126/E$12</f>
        <v>#DIV/0!</v>
      </c>
      <c r="G126" s="62"/>
      <c r="H126" s="49" t="e">
        <f>G126/G$12</f>
        <v>#DIV/0!</v>
      </c>
      <c r="I126" s="62"/>
      <c r="J126" s="49" t="e">
        <f>I126/I$12</f>
        <v>#DIV/0!</v>
      </c>
      <c r="K126" s="62"/>
      <c r="L126" s="49" t="e">
        <f>K126/K$12</f>
        <v>#DIV/0!</v>
      </c>
      <c r="M126" s="62"/>
      <c r="N126" s="49" t="e">
        <f>M126/M$12</f>
        <v>#DIV/0!</v>
      </c>
      <c r="O126" s="62"/>
      <c r="P126" s="49" t="e">
        <f>O126/O$12</f>
        <v>#DIV/0!</v>
      </c>
      <c r="Q126" s="62"/>
      <c r="R126" s="49" t="e">
        <f>Q126/Q$12</f>
        <v>#DIV/0!</v>
      </c>
      <c r="S126" s="62"/>
      <c r="T126" s="49" t="e">
        <f>S126/S$12</f>
        <v>#DIV/0!</v>
      </c>
      <c r="U126" s="62"/>
      <c r="V126" s="49" t="e">
        <f>U126/U$12</f>
        <v>#DIV/0!</v>
      </c>
      <c r="W126" s="62"/>
      <c r="X126" s="49" t="e">
        <f>W126/W$12</f>
        <v>#DIV/0!</v>
      </c>
      <c r="Y126" s="62"/>
      <c r="Z126" s="49" t="e">
        <f>Y126/Y$12</f>
        <v>#DIV/0!</v>
      </c>
      <c r="AA126" s="105">
        <f t="shared" si="135"/>
        <v>0</v>
      </c>
      <c r="AB126" s="108" t="e">
        <f>AA126/AA$12</f>
        <v>#DIV/0!</v>
      </c>
      <c r="AC126" s="124">
        <f t="shared" si="94"/>
        <v>0</v>
      </c>
      <c r="AD126" s="92" t="e">
        <f>AC126/AC$12</f>
        <v>#DIV/0!</v>
      </c>
      <c r="AE126" s="214" t="s">
        <v>181</v>
      </c>
      <c r="AF126" s="54"/>
      <c r="AH126" s="21">
        <f t="shared" si="98"/>
        <v>0</v>
      </c>
    </row>
    <row r="127" spans="1:34" s="289" customFormat="1">
      <c r="A127" s="2">
        <v>6415</v>
      </c>
      <c r="B127" s="147" t="s">
        <v>44</v>
      </c>
      <c r="C127" s="62"/>
      <c r="D127" s="49" t="e">
        <f>C127/C$12</f>
        <v>#DIV/0!</v>
      </c>
      <c r="E127" s="62"/>
      <c r="F127" s="49" t="e">
        <f>E127/E$12</f>
        <v>#DIV/0!</v>
      </c>
      <c r="G127" s="62"/>
      <c r="H127" s="49" t="e">
        <f>G127/G$12</f>
        <v>#DIV/0!</v>
      </c>
      <c r="I127" s="62"/>
      <c r="J127" s="49" t="e">
        <f>I127/I$12</f>
        <v>#DIV/0!</v>
      </c>
      <c r="K127" s="62"/>
      <c r="L127" s="49" t="e">
        <f>K127/K$12</f>
        <v>#DIV/0!</v>
      </c>
      <c r="M127" s="62"/>
      <c r="N127" s="49" t="e">
        <f>M127/M$12</f>
        <v>#DIV/0!</v>
      </c>
      <c r="O127" s="62"/>
      <c r="P127" s="49" t="e">
        <f>O127/O$12</f>
        <v>#DIV/0!</v>
      </c>
      <c r="Q127" s="62"/>
      <c r="R127" s="49" t="e">
        <f>Q127/Q$12</f>
        <v>#DIV/0!</v>
      </c>
      <c r="S127" s="62"/>
      <c r="T127" s="49" t="e">
        <f>S127/S$12</f>
        <v>#DIV/0!</v>
      </c>
      <c r="U127" s="62"/>
      <c r="V127" s="49" t="e">
        <f>U127/U$12</f>
        <v>#DIV/0!</v>
      </c>
      <c r="W127" s="62"/>
      <c r="X127" s="49" t="e">
        <f>W127/W$12</f>
        <v>#DIV/0!</v>
      </c>
      <c r="Y127" s="62"/>
      <c r="Z127" s="49" t="e">
        <f>Y127/Y$12</f>
        <v>#DIV/0!</v>
      </c>
      <c r="AA127" s="105">
        <f t="shared" si="135"/>
        <v>0</v>
      </c>
      <c r="AB127" s="108" t="e">
        <f>AA127/AA$12</f>
        <v>#DIV/0!</v>
      </c>
      <c r="AC127" s="124">
        <f t="shared" si="94"/>
        <v>0</v>
      </c>
      <c r="AD127" s="92" t="e">
        <f>AC127/AC$12</f>
        <v>#DIV/0!</v>
      </c>
      <c r="AE127" s="214"/>
      <c r="AF127" s="54"/>
      <c r="AH127" s="21">
        <f t="shared" si="98"/>
        <v>0</v>
      </c>
    </row>
    <row r="128" spans="1:34" s="289" customFormat="1" ht="15.75" thickBot="1">
      <c r="A128" s="4">
        <v>6499</v>
      </c>
      <c r="B128" s="4" t="s">
        <v>116</v>
      </c>
      <c r="C128" s="56">
        <f>SUM(C116:C127)</f>
        <v>0</v>
      </c>
      <c r="D128" s="71" t="e">
        <f>C128/C12</f>
        <v>#DIV/0!</v>
      </c>
      <c r="E128" s="56">
        <f>SUM(E116:E127)</f>
        <v>0</v>
      </c>
      <c r="F128" s="71" t="e">
        <f>E128/E12</f>
        <v>#DIV/0!</v>
      </c>
      <c r="G128" s="56">
        <f>SUM(G116:G127)</f>
        <v>0</v>
      </c>
      <c r="H128" s="71" t="e">
        <f>G128/G12</f>
        <v>#DIV/0!</v>
      </c>
      <c r="I128" s="56">
        <f>SUM(I116:I127)</f>
        <v>0</v>
      </c>
      <c r="J128" s="71" t="e">
        <f>I128/I12</f>
        <v>#DIV/0!</v>
      </c>
      <c r="K128" s="56">
        <f>SUM(K116:K127)</f>
        <v>0</v>
      </c>
      <c r="L128" s="71" t="e">
        <f>K128/K12</f>
        <v>#DIV/0!</v>
      </c>
      <c r="M128" s="56">
        <f>SUM(M116:M127)</f>
        <v>0</v>
      </c>
      <c r="N128" s="71" t="e">
        <f>M128/M12</f>
        <v>#DIV/0!</v>
      </c>
      <c r="O128" s="56">
        <f>SUM(O116:O127)</f>
        <v>0</v>
      </c>
      <c r="P128" s="71" t="e">
        <f>O128/O12</f>
        <v>#DIV/0!</v>
      </c>
      <c r="Q128" s="56">
        <f>SUM(Q116:Q127)</f>
        <v>0</v>
      </c>
      <c r="R128" s="71" t="e">
        <f>Q128/Q12</f>
        <v>#DIV/0!</v>
      </c>
      <c r="S128" s="56">
        <f>SUM(S116:S127)</f>
        <v>0</v>
      </c>
      <c r="T128" s="71" t="e">
        <f>S128/S$12</f>
        <v>#DIV/0!</v>
      </c>
      <c r="U128" s="56">
        <f>SUM(U116:U127)</f>
        <v>0</v>
      </c>
      <c r="V128" s="71" t="e">
        <f>U128/U12</f>
        <v>#DIV/0!</v>
      </c>
      <c r="W128" s="56">
        <f>SUM(W116:W127)</f>
        <v>0</v>
      </c>
      <c r="X128" s="71" t="e">
        <f>W128/W12</f>
        <v>#DIV/0!</v>
      </c>
      <c r="Y128" s="56">
        <f>SUM(Y116:Y127)</f>
        <v>0</v>
      </c>
      <c r="Z128" s="71" t="e">
        <f>Y128/Y$12</f>
        <v>#DIV/0!</v>
      </c>
      <c r="AA128" s="109">
        <f>SUM(AA116:AA127)</f>
        <v>0</v>
      </c>
      <c r="AB128" s="110" t="e">
        <f>AA128/AA$12</f>
        <v>#DIV/0!</v>
      </c>
      <c r="AC128" s="93">
        <f t="shared" si="94"/>
        <v>0</v>
      </c>
      <c r="AD128" s="94" t="e">
        <f>AC128/AC$12</f>
        <v>#DIV/0!</v>
      </c>
      <c r="AE128" s="218"/>
      <c r="AF128" s="219"/>
      <c r="AG128" s="209"/>
      <c r="AH128" s="21">
        <f t="shared" si="98"/>
        <v>0</v>
      </c>
    </row>
    <row r="129" spans="1:35" s="289" customFormat="1" ht="15.75" thickTop="1">
      <c r="A129" s="139"/>
      <c r="B129" s="139"/>
      <c r="C129" s="62"/>
      <c r="D129" s="82"/>
      <c r="E129" s="62"/>
      <c r="F129" s="82"/>
      <c r="G129" s="62"/>
      <c r="H129" s="82"/>
      <c r="I129" s="62"/>
      <c r="J129" s="82"/>
      <c r="K129" s="62"/>
      <c r="L129" s="82"/>
      <c r="M129" s="62"/>
      <c r="N129" s="82"/>
      <c r="O129" s="62"/>
      <c r="P129" s="82"/>
      <c r="Q129" s="62"/>
      <c r="R129" s="82"/>
      <c r="S129" s="62"/>
      <c r="T129" s="82"/>
      <c r="U129" s="62"/>
      <c r="V129" s="82"/>
      <c r="W129" s="62"/>
      <c r="X129" s="82"/>
      <c r="Y129" s="62"/>
      <c r="Z129" s="82"/>
      <c r="AA129" s="45"/>
      <c r="AB129" s="82"/>
      <c r="AC129" s="45">
        <f t="shared" si="94"/>
        <v>0</v>
      </c>
      <c r="AD129" s="82"/>
      <c r="AE129" s="138"/>
      <c r="AF129" s="54"/>
      <c r="AH129" s="21">
        <f t="shared" si="98"/>
        <v>0</v>
      </c>
    </row>
    <row r="130" spans="1:35" s="289" customFormat="1" ht="15.75" thickBot="1">
      <c r="A130" s="142"/>
      <c r="B130" s="153" t="s">
        <v>187</v>
      </c>
      <c r="C130" s="177">
        <f>C37-C41-C76-C93-C115-C128</f>
        <v>0</v>
      </c>
      <c r="D130" s="161" t="e">
        <f>C130/C12</f>
        <v>#DIV/0!</v>
      </c>
      <c r="E130" s="177">
        <f>E37-E41-E76-E93-E115-E128</f>
        <v>0</v>
      </c>
      <c r="F130" s="161" t="e">
        <f>E130/E12</f>
        <v>#DIV/0!</v>
      </c>
      <c r="G130" s="177">
        <f>G37-G41-G76-G93-G115-G128</f>
        <v>0</v>
      </c>
      <c r="H130" s="161" t="e">
        <f>G130/G12</f>
        <v>#DIV/0!</v>
      </c>
      <c r="I130" s="177">
        <f>I37-I41-I76-I93-I115-I128</f>
        <v>0</v>
      </c>
      <c r="J130" s="161" t="e">
        <f>I130/I12</f>
        <v>#DIV/0!</v>
      </c>
      <c r="K130" s="177">
        <f>K37-K41-K76-K93-K115-K128</f>
        <v>0</v>
      </c>
      <c r="L130" s="161" t="e">
        <f>K130/K12</f>
        <v>#DIV/0!</v>
      </c>
      <c r="M130" s="177">
        <f>M37-M41-M76-M93-M115-M128</f>
        <v>0</v>
      </c>
      <c r="N130" s="161" t="e">
        <f>M130/M12</f>
        <v>#DIV/0!</v>
      </c>
      <c r="O130" s="177">
        <f>O37-O41-O76-O93-O115-O128</f>
        <v>0</v>
      </c>
      <c r="P130" s="161" t="e">
        <f>O130/O12</f>
        <v>#DIV/0!</v>
      </c>
      <c r="Q130" s="177">
        <f>Q37-Q41-Q76-Q93-Q115-Q128</f>
        <v>0</v>
      </c>
      <c r="R130" s="161" t="e">
        <f>Q130/Q12</f>
        <v>#DIV/0!</v>
      </c>
      <c r="S130" s="177">
        <f>S37-S41-S76-S93-S115-S128</f>
        <v>0</v>
      </c>
      <c r="T130" s="161" t="e">
        <f>S130/S12</f>
        <v>#DIV/0!</v>
      </c>
      <c r="U130" s="177">
        <f>U37-U41-U76-U93-U115-U128</f>
        <v>0</v>
      </c>
      <c r="V130" s="161" t="e">
        <f>U130/U12</f>
        <v>#DIV/0!</v>
      </c>
      <c r="W130" s="177">
        <f>W37-W41-W76-W93-W115-W128</f>
        <v>0</v>
      </c>
      <c r="X130" s="161" t="e">
        <f>W130/W12</f>
        <v>#DIV/0!</v>
      </c>
      <c r="Y130" s="177">
        <f>Y37-Y41-Y76-Y93-Y115-Y128</f>
        <v>0</v>
      </c>
      <c r="Z130" s="161" t="e">
        <f>Y130/Y12</f>
        <v>#DIV/0!</v>
      </c>
      <c r="AA130" s="155">
        <f>AA37-AA41-AA76-AA93-AA115-AA128</f>
        <v>0</v>
      </c>
      <c r="AB130" s="161" t="e">
        <f>AA130/AA12</f>
        <v>#DIV/0!</v>
      </c>
      <c r="AC130" s="159">
        <f t="shared" si="94"/>
        <v>0</v>
      </c>
      <c r="AD130" s="161" t="e">
        <f>AC130/AC12</f>
        <v>#DIV/0!</v>
      </c>
      <c r="AE130" s="161"/>
      <c r="AF130" s="219"/>
      <c r="AG130" s="209"/>
      <c r="AH130" s="21">
        <f t="shared" si="98"/>
        <v>0</v>
      </c>
    </row>
    <row r="131" spans="1:35" s="289" customFormat="1" ht="15.75" thickTop="1">
      <c r="B131" s="20"/>
      <c r="C131" s="167"/>
      <c r="D131" s="19"/>
      <c r="E131" s="167"/>
      <c r="F131" s="19"/>
      <c r="G131" s="167"/>
      <c r="H131" s="19"/>
      <c r="I131" s="167"/>
      <c r="J131" s="19"/>
      <c r="K131" s="167"/>
      <c r="L131" s="19"/>
      <c r="M131" s="167"/>
      <c r="N131" s="19"/>
      <c r="O131" s="167"/>
      <c r="P131" s="19"/>
      <c r="Q131" s="167"/>
      <c r="R131" s="19"/>
      <c r="S131" s="167"/>
      <c r="T131" s="19"/>
      <c r="U131" s="167"/>
      <c r="V131" s="19"/>
      <c r="W131" s="167"/>
      <c r="X131" s="19"/>
      <c r="Y131" s="167"/>
      <c r="Z131" s="19"/>
      <c r="AC131" s="134">
        <f t="shared" si="94"/>
        <v>0</v>
      </c>
      <c r="AD131" s="19"/>
      <c r="AE131" s="134"/>
      <c r="AF131" s="54"/>
      <c r="AH131" s="21">
        <f t="shared" si="98"/>
        <v>0</v>
      </c>
    </row>
    <row r="132" spans="1:35" s="289" customFormat="1" ht="15.75" thickBot="1">
      <c r="A132" s="158"/>
      <c r="B132" s="4" t="s">
        <v>140</v>
      </c>
      <c r="C132" s="170"/>
      <c r="D132" s="171"/>
      <c r="E132" s="170"/>
      <c r="F132" s="171"/>
      <c r="G132" s="170"/>
      <c r="H132" s="171"/>
      <c r="I132" s="170"/>
      <c r="J132" s="171"/>
      <c r="K132" s="170"/>
      <c r="L132" s="171"/>
      <c r="M132" s="170"/>
      <c r="N132" s="171"/>
      <c r="O132" s="170"/>
      <c r="P132" s="171"/>
      <c r="Q132" s="170"/>
      <c r="R132" s="171"/>
      <c r="S132" s="170"/>
      <c r="T132" s="171"/>
      <c r="U132" s="170"/>
      <c r="V132" s="171"/>
      <c r="W132" s="170"/>
      <c r="X132" s="171"/>
      <c r="Y132" s="170"/>
      <c r="Z132" s="171"/>
      <c r="AA132" s="172">
        <f>C132+E132+G132+I132+K132+M132+O132+Q132+S132+U132+W132+Y132</f>
        <v>0</v>
      </c>
      <c r="AB132" s="171" t="e">
        <f>AA132/AA$12</f>
        <v>#DIV/0!</v>
      </c>
      <c r="AC132" s="172">
        <f t="shared" si="94"/>
        <v>0</v>
      </c>
      <c r="AD132" s="171" t="e">
        <f>AC132/AC$12</f>
        <v>#DIV/0!</v>
      </c>
      <c r="AE132" s="224"/>
      <c r="AF132" s="219"/>
      <c r="AG132" s="209"/>
      <c r="AH132" s="21">
        <f t="shared" si="98"/>
        <v>0</v>
      </c>
    </row>
    <row r="133" spans="1:35" s="289" customFormat="1" ht="15.75" customHeight="1" thickTop="1">
      <c r="B133" s="139"/>
      <c r="C133" s="167"/>
      <c r="D133" s="19"/>
      <c r="E133" s="167"/>
      <c r="F133" s="19"/>
      <c r="G133" s="167"/>
      <c r="H133" s="19"/>
      <c r="I133" s="167"/>
      <c r="J133" s="19"/>
      <c r="K133" s="167"/>
      <c r="L133" s="19"/>
      <c r="M133" s="167"/>
      <c r="N133" s="19"/>
      <c r="O133" s="167"/>
      <c r="P133" s="19"/>
      <c r="Q133" s="167"/>
      <c r="R133" s="19"/>
      <c r="S133" s="167"/>
      <c r="T133" s="19"/>
      <c r="U133" s="167"/>
      <c r="V133" s="19"/>
      <c r="W133" s="167"/>
      <c r="X133" s="19"/>
      <c r="Y133" s="167"/>
      <c r="Z133" s="19"/>
      <c r="AC133" s="134">
        <f t="shared" si="94"/>
        <v>0</v>
      </c>
      <c r="AD133" s="19"/>
      <c r="AE133" s="134"/>
      <c r="AF133" s="54"/>
      <c r="AH133" s="21">
        <f t="shared" si="98"/>
        <v>0</v>
      </c>
    </row>
    <row r="134" spans="1:35" s="289" customFormat="1" ht="15.75" customHeight="1" thickBot="1">
      <c r="A134" s="4"/>
      <c r="B134" s="4" t="s">
        <v>131</v>
      </c>
      <c r="C134" s="56">
        <f>C130-C132</f>
        <v>0</v>
      </c>
      <c r="D134" s="71" t="e">
        <f>C134/C12</f>
        <v>#DIV/0!</v>
      </c>
      <c r="E134" s="56">
        <f>E130-E132</f>
        <v>0</v>
      </c>
      <c r="F134" s="71" t="e">
        <f>E134/E12</f>
        <v>#DIV/0!</v>
      </c>
      <c r="G134" s="56">
        <f>G130-G132</f>
        <v>0</v>
      </c>
      <c r="H134" s="71" t="e">
        <f>G134/G12</f>
        <v>#DIV/0!</v>
      </c>
      <c r="I134" s="56">
        <f>I130-I132</f>
        <v>0</v>
      </c>
      <c r="J134" s="71" t="e">
        <f>I134/I12</f>
        <v>#DIV/0!</v>
      </c>
      <c r="K134" s="56">
        <f>K130-K132</f>
        <v>0</v>
      </c>
      <c r="L134" s="71" t="e">
        <f>K134/K12</f>
        <v>#DIV/0!</v>
      </c>
      <c r="M134" s="56">
        <f>M130-M132</f>
        <v>0</v>
      </c>
      <c r="N134" s="71" t="e">
        <f>M134/M12</f>
        <v>#DIV/0!</v>
      </c>
      <c r="O134" s="56">
        <f>O130-O132</f>
        <v>0</v>
      </c>
      <c r="P134" s="71" t="e">
        <f>O134/O12</f>
        <v>#DIV/0!</v>
      </c>
      <c r="Q134" s="56">
        <f>Q130-Q132</f>
        <v>0</v>
      </c>
      <c r="R134" s="71" t="e">
        <f>Q134/Q12</f>
        <v>#DIV/0!</v>
      </c>
      <c r="S134" s="56">
        <f>S130-S132</f>
        <v>0</v>
      </c>
      <c r="T134" s="71" t="e">
        <f>S134/S12</f>
        <v>#DIV/0!</v>
      </c>
      <c r="U134" s="56">
        <f>U130-U132</f>
        <v>0</v>
      </c>
      <c r="V134" s="71" t="e">
        <f>U134/U12</f>
        <v>#DIV/0!</v>
      </c>
      <c r="W134" s="56">
        <f>W130-W132</f>
        <v>0</v>
      </c>
      <c r="X134" s="71" t="e">
        <f>W134/W12</f>
        <v>#DIV/0!</v>
      </c>
      <c r="Y134" s="56">
        <f>Y130-Y132</f>
        <v>0</v>
      </c>
      <c r="Z134" s="71" t="e">
        <f>Y134/Y12</f>
        <v>#DIV/0!</v>
      </c>
      <c r="AA134" s="38">
        <f>AA130-AA132</f>
        <v>0</v>
      </c>
      <c r="AB134" s="76" t="e">
        <f>AA134/AA12</f>
        <v>#DIV/0!</v>
      </c>
      <c r="AC134" s="38">
        <f t="shared" si="94"/>
        <v>0</v>
      </c>
      <c r="AD134" s="71" t="e">
        <f>AC134/AC12</f>
        <v>#DIV/0!</v>
      </c>
      <c r="AE134" s="225"/>
      <c r="AF134" s="219"/>
      <c r="AG134" s="209"/>
      <c r="AH134" s="21">
        <f t="shared" si="98"/>
        <v>0</v>
      </c>
    </row>
    <row r="135" spans="1:35" s="289" customFormat="1" ht="15.75" customHeight="1" thickTop="1">
      <c r="A135" s="20">
        <v>6501</v>
      </c>
      <c r="B135" s="147"/>
      <c r="C135" s="62"/>
      <c r="D135" s="49" t="e">
        <f t="shared" ref="D135:D142" si="139">C135/C$12</f>
        <v>#DIV/0!</v>
      </c>
      <c r="E135" s="62"/>
      <c r="F135" s="49" t="e">
        <f t="shared" ref="F135:F142" si="140">E135/E$12</f>
        <v>#DIV/0!</v>
      </c>
      <c r="G135" s="62"/>
      <c r="H135" s="49" t="e">
        <f t="shared" ref="H135:H142" si="141">G135/G$12</f>
        <v>#DIV/0!</v>
      </c>
      <c r="I135" s="62"/>
      <c r="J135" s="49" t="e">
        <f t="shared" ref="J135:J142" si="142">I135/I$12</f>
        <v>#DIV/0!</v>
      </c>
      <c r="K135" s="62"/>
      <c r="L135" s="49" t="e">
        <f t="shared" ref="L135:L142" si="143">K135/K$12</f>
        <v>#DIV/0!</v>
      </c>
      <c r="M135" s="62"/>
      <c r="N135" s="49" t="e">
        <f t="shared" ref="N135:N142" si="144">M135/M$12</f>
        <v>#DIV/0!</v>
      </c>
      <c r="O135" s="62"/>
      <c r="P135" s="49" t="e">
        <f t="shared" ref="P135:P142" si="145">O135/O$12</f>
        <v>#DIV/0!</v>
      </c>
      <c r="Q135" s="62"/>
      <c r="R135" s="49" t="e">
        <f t="shared" ref="R135:R142" si="146">Q135/Q$12</f>
        <v>#DIV/0!</v>
      </c>
      <c r="S135" s="62"/>
      <c r="T135" s="49" t="e">
        <f t="shared" ref="T135:T145" si="147">S135/S$12</f>
        <v>#DIV/0!</v>
      </c>
      <c r="U135" s="62"/>
      <c r="V135" s="49" t="e">
        <f t="shared" ref="V135:V142" si="148">U135/U$12</f>
        <v>#DIV/0!</v>
      </c>
      <c r="W135" s="62"/>
      <c r="X135" s="49" t="e">
        <f t="shared" ref="X135:X142" si="149">W135/W$12</f>
        <v>#DIV/0!</v>
      </c>
      <c r="Y135" s="62"/>
      <c r="Z135" s="49" t="e">
        <f t="shared" ref="Z135:Z145" si="150">Y135/Y$12</f>
        <v>#DIV/0!</v>
      </c>
      <c r="AA135" s="105">
        <f t="shared" ref="AA135:AA142" si="151">C135+E135+G135+I135+K135+M135+O135+Q135+S135+U135+W135+Y135</f>
        <v>0</v>
      </c>
      <c r="AB135" s="108" t="e">
        <f t="shared" ref="AB135:AB145" si="152">AA135/AA$12</f>
        <v>#DIV/0!</v>
      </c>
      <c r="AC135" s="124">
        <f t="shared" si="94"/>
        <v>0</v>
      </c>
      <c r="AD135" s="92" t="e">
        <f t="shared" ref="AD135:AD145" si="153">AC135/AC$12</f>
        <v>#DIV/0!</v>
      </c>
      <c r="AE135" s="214"/>
      <c r="AF135" s="54"/>
      <c r="AH135" s="21">
        <f t="shared" si="98"/>
        <v>0</v>
      </c>
    </row>
    <row r="136" spans="1:35" s="289" customFormat="1" ht="15" customHeight="1">
      <c r="A136" s="2">
        <v>6502</v>
      </c>
      <c r="B136" s="147" t="s">
        <v>127</v>
      </c>
      <c r="C136" s="319"/>
      <c r="D136" s="49" t="e">
        <f t="shared" si="139"/>
        <v>#DIV/0!</v>
      </c>
      <c r="E136" s="319"/>
      <c r="F136" s="49" t="e">
        <f t="shared" si="140"/>
        <v>#DIV/0!</v>
      </c>
      <c r="G136" s="319"/>
      <c r="H136" s="49" t="e">
        <f t="shared" si="141"/>
        <v>#DIV/0!</v>
      </c>
      <c r="I136" s="319"/>
      <c r="J136" s="49" t="e">
        <f t="shared" si="142"/>
        <v>#DIV/0!</v>
      </c>
      <c r="K136" s="319"/>
      <c r="L136" s="49" t="e">
        <f t="shared" si="143"/>
        <v>#DIV/0!</v>
      </c>
      <c r="M136" s="319"/>
      <c r="N136" s="49" t="e">
        <f t="shared" si="144"/>
        <v>#DIV/0!</v>
      </c>
      <c r="O136" s="319"/>
      <c r="P136" s="49" t="e">
        <f t="shared" si="145"/>
        <v>#DIV/0!</v>
      </c>
      <c r="Q136" s="319"/>
      <c r="R136" s="49" t="e">
        <f t="shared" si="146"/>
        <v>#DIV/0!</v>
      </c>
      <c r="S136" s="319"/>
      <c r="T136" s="49" t="e">
        <f t="shared" si="147"/>
        <v>#DIV/0!</v>
      </c>
      <c r="U136" s="319"/>
      <c r="V136" s="49" t="e">
        <f t="shared" si="148"/>
        <v>#DIV/0!</v>
      </c>
      <c r="W136" s="319"/>
      <c r="X136" s="49" t="e">
        <f t="shared" si="149"/>
        <v>#DIV/0!</v>
      </c>
      <c r="Y136" s="319"/>
      <c r="Z136" s="49" t="e">
        <f t="shared" si="150"/>
        <v>#DIV/0!</v>
      </c>
      <c r="AA136" s="105">
        <f t="shared" si="151"/>
        <v>0</v>
      </c>
      <c r="AB136" s="108" t="e">
        <f t="shared" si="152"/>
        <v>#DIV/0!</v>
      </c>
      <c r="AC136" s="124">
        <f t="shared" si="94"/>
        <v>0</v>
      </c>
      <c r="AD136" s="92" t="e">
        <f t="shared" si="153"/>
        <v>#DIV/0!</v>
      </c>
      <c r="AE136" s="214" t="s">
        <v>148</v>
      </c>
      <c r="AF136" s="54"/>
      <c r="AG136" s="289" t="s">
        <v>148</v>
      </c>
      <c r="AH136" s="21">
        <f t="shared" si="98"/>
        <v>0</v>
      </c>
    </row>
    <row r="137" spans="1:35" s="289" customFormat="1" ht="15" customHeight="1">
      <c r="A137" s="2">
        <v>6503</v>
      </c>
      <c r="B137" s="147" t="s">
        <v>128</v>
      </c>
      <c r="C137" s="319"/>
      <c r="D137" s="49" t="e">
        <f t="shared" si="139"/>
        <v>#DIV/0!</v>
      </c>
      <c r="E137" s="319"/>
      <c r="F137" s="49" t="e">
        <f t="shared" si="140"/>
        <v>#DIV/0!</v>
      </c>
      <c r="G137" s="319"/>
      <c r="H137" s="49" t="e">
        <f t="shared" si="141"/>
        <v>#DIV/0!</v>
      </c>
      <c r="I137" s="319"/>
      <c r="J137" s="49" t="e">
        <f t="shared" si="142"/>
        <v>#DIV/0!</v>
      </c>
      <c r="K137" s="319"/>
      <c r="L137" s="49" t="e">
        <f t="shared" si="143"/>
        <v>#DIV/0!</v>
      </c>
      <c r="M137" s="319"/>
      <c r="N137" s="49" t="e">
        <f t="shared" si="144"/>
        <v>#DIV/0!</v>
      </c>
      <c r="O137" s="319"/>
      <c r="P137" s="49" t="e">
        <f t="shared" si="145"/>
        <v>#DIV/0!</v>
      </c>
      <c r="Q137" s="319"/>
      <c r="R137" s="49" t="e">
        <f t="shared" si="146"/>
        <v>#DIV/0!</v>
      </c>
      <c r="S137" s="319"/>
      <c r="T137" s="49" t="e">
        <f t="shared" si="147"/>
        <v>#DIV/0!</v>
      </c>
      <c r="U137" s="319"/>
      <c r="V137" s="49" t="e">
        <f t="shared" si="148"/>
        <v>#DIV/0!</v>
      </c>
      <c r="W137" s="319"/>
      <c r="X137" s="49" t="e">
        <f t="shared" si="149"/>
        <v>#DIV/0!</v>
      </c>
      <c r="Y137" s="319"/>
      <c r="Z137" s="49" t="e">
        <f t="shared" si="150"/>
        <v>#DIV/0!</v>
      </c>
      <c r="AA137" s="105">
        <f t="shared" si="151"/>
        <v>0</v>
      </c>
      <c r="AB137" s="108" t="e">
        <f t="shared" si="152"/>
        <v>#DIV/0!</v>
      </c>
      <c r="AC137" s="124">
        <f t="shared" si="94"/>
        <v>0</v>
      </c>
      <c r="AD137" s="92" t="e">
        <f t="shared" si="153"/>
        <v>#DIV/0!</v>
      </c>
      <c r="AE137" s="214" t="s">
        <v>148</v>
      </c>
      <c r="AF137" s="54"/>
      <c r="AG137" s="289" t="s">
        <v>148</v>
      </c>
      <c r="AH137" s="21">
        <f t="shared" si="98"/>
        <v>0</v>
      </c>
      <c r="AI137" s="64">
        <f>AH136+AH137</f>
        <v>0</v>
      </c>
    </row>
    <row r="138" spans="1:35" s="289" customFormat="1" ht="15" customHeight="1">
      <c r="A138" s="2">
        <v>6504</v>
      </c>
      <c r="B138" s="147" t="s">
        <v>129</v>
      </c>
      <c r="C138" s="178"/>
      <c r="D138" s="49" t="e">
        <f t="shared" si="139"/>
        <v>#DIV/0!</v>
      </c>
      <c r="E138" s="178"/>
      <c r="F138" s="49" t="e">
        <f t="shared" si="140"/>
        <v>#DIV/0!</v>
      </c>
      <c r="G138" s="178"/>
      <c r="H138" s="49" t="e">
        <f t="shared" si="141"/>
        <v>#DIV/0!</v>
      </c>
      <c r="I138" s="178"/>
      <c r="J138" s="49" t="e">
        <f t="shared" si="142"/>
        <v>#DIV/0!</v>
      </c>
      <c r="K138" s="178"/>
      <c r="L138" s="49" t="e">
        <f t="shared" si="143"/>
        <v>#DIV/0!</v>
      </c>
      <c r="M138" s="178"/>
      <c r="N138" s="49" t="e">
        <f t="shared" si="144"/>
        <v>#DIV/0!</v>
      </c>
      <c r="O138" s="178"/>
      <c r="P138" s="49" t="e">
        <f t="shared" si="145"/>
        <v>#DIV/0!</v>
      </c>
      <c r="Q138" s="178"/>
      <c r="R138" s="49" t="e">
        <f t="shared" si="146"/>
        <v>#DIV/0!</v>
      </c>
      <c r="S138" s="178"/>
      <c r="T138" s="49" t="e">
        <f t="shared" si="147"/>
        <v>#DIV/0!</v>
      </c>
      <c r="U138" s="178"/>
      <c r="V138" s="49" t="e">
        <f t="shared" si="148"/>
        <v>#DIV/0!</v>
      </c>
      <c r="W138" s="178"/>
      <c r="X138" s="49" t="e">
        <f t="shared" si="149"/>
        <v>#DIV/0!</v>
      </c>
      <c r="Y138" s="178"/>
      <c r="Z138" s="49" t="e">
        <f t="shared" si="150"/>
        <v>#DIV/0!</v>
      </c>
      <c r="AA138" s="105">
        <f t="shared" si="151"/>
        <v>0</v>
      </c>
      <c r="AB138" s="108" t="e">
        <f t="shared" si="152"/>
        <v>#DIV/0!</v>
      </c>
      <c r="AC138" s="89">
        <f t="shared" si="94"/>
        <v>0</v>
      </c>
      <c r="AD138" s="92" t="e">
        <f t="shared" si="153"/>
        <v>#DIV/0!</v>
      </c>
      <c r="AE138" s="214" t="s">
        <v>148</v>
      </c>
      <c r="AF138" s="54"/>
      <c r="AG138" s="289" t="s">
        <v>148</v>
      </c>
      <c r="AH138" s="21">
        <f t="shared" si="98"/>
        <v>0</v>
      </c>
    </row>
    <row r="139" spans="1:35" s="289" customFormat="1" ht="15" customHeight="1">
      <c r="A139" s="2">
        <v>6505</v>
      </c>
      <c r="B139" s="2" t="s">
        <v>130</v>
      </c>
      <c r="C139" s="178"/>
      <c r="D139" s="49" t="e">
        <f t="shared" si="139"/>
        <v>#DIV/0!</v>
      </c>
      <c r="E139" s="178"/>
      <c r="F139" s="49" t="e">
        <f t="shared" si="140"/>
        <v>#DIV/0!</v>
      </c>
      <c r="G139" s="178"/>
      <c r="H139" s="49" t="e">
        <f t="shared" si="141"/>
        <v>#DIV/0!</v>
      </c>
      <c r="I139" s="178"/>
      <c r="J139" s="49" t="e">
        <f t="shared" si="142"/>
        <v>#DIV/0!</v>
      </c>
      <c r="K139" s="178"/>
      <c r="L139" s="49" t="e">
        <f t="shared" si="143"/>
        <v>#DIV/0!</v>
      </c>
      <c r="M139" s="178"/>
      <c r="N139" s="49" t="e">
        <f t="shared" si="144"/>
        <v>#DIV/0!</v>
      </c>
      <c r="O139" s="178"/>
      <c r="P139" s="49" t="e">
        <f t="shared" si="145"/>
        <v>#DIV/0!</v>
      </c>
      <c r="Q139" s="178"/>
      <c r="R139" s="49" t="e">
        <f t="shared" si="146"/>
        <v>#DIV/0!</v>
      </c>
      <c r="S139" s="178"/>
      <c r="T139" s="49" t="e">
        <f t="shared" si="147"/>
        <v>#DIV/0!</v>
      </c>
      <c r="U139" s="178"/>
      <c r="V139" s="49" t="e">
        <f t="shared" si="148"/>
        <v>#DIV/0!</v>
      </c>
      <c r="W139" s="178"/>
      <c r="X139" s="49" t="e">
        <f t="shared" si="149"/>
        <v>#DIV/0!</v>
      </c>
      <c r="Y139" s="178"/>
      <c r="Z139" s="49" t="e">
        <f t="shared" si="150"/>
        <v>#DIV/0!</v>
      </c>
      <c r="AA139" s="105">
        <f t="shared" si="151"/>
        <v>0</v>
      </c>
      <c r="AB139" s="108" t="e">
        <f t="shared" si="152"/>
        <v>#DIV/0!</v>
      </c>
      <c r="AC139" s="89">
        <f t="shared" si="94"/>
        <v>0</v>
      </c>
      <c r="AD139" s="92" t="e">
        <f t="shared" si="153"/>
        <v>#DIV/0!</v>
      </c>
      <c r="AE139" s="214"/>
      <c r="AF139" s="54"/>
      <c r="AH139" s="21">
        <f t="shared" si="98"/>
        <v>0</v>
      </c>
    </row>
    <row r="140" spans="1:35" s="289" customFormat="1">
      <c r="A140" s="2">
        <v>6506</v>
      </c>
      <c r="B140" s="2" t="s">
        <v>202</v>
      </c>
      <c r="C140" s="27"/>
      <c r="D140" s="278" t="e">
        <f>C140/C12</f>
        <v>#DIV/0!</v>
      </c>
      <c r="E140" s="27"/>
      <c r="F140" s="278" t="e">
        <f>E140/E12</f>
        <v>#DIV/0!</v>
      </c>
      <c r="G140" s="27"/>
      <c r="H140" s="278" t="e">
        <f>G140/G12</f>
        <v>#DIV/0!</v>
      </c>
      <c r="I140" s="27"/>
      <c r="J140" s="278" t="e">
        <f>I140/I12</f>
        <v>#DIV/0!</v>
      </c>
      <c r="K140" s="27"/>
      <c r="L140" s="278" t="e">
        <f>K140/K12</f>
        <v>#DIV/0!</v>
      </c>
      <c r="M140" s="27"/>
      <c r="N140" s="278" t="e">
        <f>M140/M12</f>
        <v>#DIV/0!</v>
      </c>
      <c r="O140" s="27"/>
      <c r="P140" s="278" t="e">
        <f>O140/O12</f>
        <v>#DIV/0!</v>
      </c>
      <c r="Q140" s="27"/>
      <c r="R140" s="278" t="e">
        <f>Q140/Q12</f>
        <v>#DIV/0!</v>
      </c>
      <c r="S140" s="27"/>
      <c r="T140" s="278" t="e">
        <f>S140/S12</f>
        <v>#DIV/0!</v>
      </c>
      <c r="U140" s="27"/>
      <c r="V140" s="278" t="e">
        <f>U140/U12</f>
        <v>#DIV/0!</v>
      </c>
      <c r="W140" s="27"/>
      <c r="X140" s="278" t="e">
        <f>W140/W12</f>
        <v>#DIV/0!</v>
      </c>
      <c r="Y140" s="27"/>
      <c r="Z140" s="278" t="e">
        <f>Y140/Y12</f>
        <v>#DIV/0!</v>
      </c>
      <c r="AA140" s="105">
        <f t="shared" si="151"/>
        <v>0</v>
      </c>
      <c r="AB140" s="108" t="e">
        <f t="shared" si="152"/>
        <v>#DIV/0!</v>
      </c>
      <c r="AC140" s="89">
        <f t="shared" si="94"/>
        <v>0</v>
      </c>
      <c r="AD140" s="92" t="e">
        <f t="shared" si="153"/>
        <v>#DIV/0!</v>
      </c>
      <c r="AF140" s="64"/>
      <c r="AH140" s="21">
        <f t="shared" si="98"/>
        <v>0</v>
      </c>
    </row>
    <row r="141" spans="1:35" s="289" customFormat="1" ht="15" customHeight="1">
      <c r="A141" s="128">
        <v>6604</v>
      </c>
      <c r="B141" s="2" t="s">
        <v>136</v>
      </c>
      <c r="C141" s="46"/>
      <c r="D141" s="49" t="e">
        <f t="shared" si="139"/>
        <v>#DIV/0!</v>
      </c>
      <c r="E141" s="46"/>
      <c r="F141" s="49" t="e">
        <f t="shared" si="140"/>
        <v>#DIV/0!</v>
      </c>
      <c r="G141" s="46"/>
      <c r="H141" s="49" t="e">
        <f t="shared" si="141"/>
        <v>#DIV/0!</v>
      </c>
      <c r="I141" s="46"/>
      <c r="J141" s="49" t="e">
        <f t="shared" si="142"/>
        <v>#DIV/0!</v>
      </c>
      <c r="K141" s="46"/>
      <c r="L141" s="49" t="e">
        <f t="shared" si="143"/>
        <v>#DIV/0!</v>
      </c>
      <c r="M141" s="46"/>
      <c r="N141" s="49" t="e">
        <f t="shared" si="144"/>
        <v>#DIV/0!</v>
      </c>
      <c r="O141" s="46"/>
      <c r="P141" s="49" t="e">
        <f t="shared" si="145"/>
        <v>#DIV/0!</v>
      </c>
      <c r="Q141" s="46"/>
      <c r="R141" s="49" t="e">
        <f t="shared" si="146"/>
        <v>#DIV/0!</v>
      </c>
      <c r="S141" s="46"/>
      <c r="T141" s="49" t="e">
        <f t="shared" si="147"/>
        <v>#DIV/0!</v>
      </c>
      <c r="U141" s="46"/>
      <c r="V141" s="49" t="e">
        <f t="shared" si="148"/>
        <v>#DIV/0!</v>
      </c>
      <c r="W141" s="46"/>
      <c r="X141" s="49" t="e">
        <f t="shared" si="149"/>
        <v>#DIV/0!</v>
      </c>
      <c r="Y141" s="46"/>
      <c r="Z141" s="49" t="e">
        <f t="shared" si="150"/>
        <v>#DIV/0!</v>
      </c>
      <c r="AA141" s="105">
        <f t="shared" si="151"/>
        <v>0</v>
      </c>
      <c r="AB141" s="108" t="e">
        <f t="shared" si="152"/>
        <v>#DIV/0!</v>
      </c>
      <c r="AC141" s="89">
        <f t="shared" si="94"/>
        <v>0</v>
      </c>
      <c r="AD141" s="92" t="e">
        <f t="shared" si="153"/>
        <v>#DIV/0!</v>
      </c>
      <c r="AE141" s="214"/>
      <c r="AF141" s="54"/>
      <c r="AH141" s="21">
        <f t="shared" si="98"/>
        <v>0</v>
      </c>
    </row>
    <row r="142" spans="1:35" s="289" customFormat="1" ht="15" customHeight="1">
      <c r="A142" s="2"/>
      <c r="B142" s="2" t="s">
        <v>217</v>
      </c>
      <c r="C142" s="46"/>
      <c r="D142" s="49" t="e">
        <f t="shared" si="139"/>
        <v>#DIV/0!</v>
      </c>
      <c r="E142" s="46"/>
      <c r="F142" s="49" t="e">
        <f t="shared" si="140"/>
        <v>#DIV/0!</v>
      </c>
      <c r="G142" s="46"/>
      <c r="H142" s="49" t="e">
        <f t="shared" si="141"/>
        <v>#DIV/0!</v>
      </c>
      <c r="I142" s="46"/>
      <c r="J142" s="49" t="e">
        <f t="shared" si="142"/>
        <v>#DIV/0!</v>
      </c>
      <c r="K142" s="46"/>
      <c r="L142" s="49" t="e">
        <f t="shared" si="143"/>
        <v>#DIV/0!</v>
      </c>
      <c r="M142" s="46"/>
      <c r="N142" s="49" t="e">
        <f t="shared" si="144"/>
        <v>#DIV/0!</v>
      </c>
      <c r="O142" s="46"/>
      <c r="P142" s="49" t="e">
        <f t="shared" si="145"/>
        <v>#DIV/0!</v>
      </c>
      <c r="Q142" s="46"/>
      <c r="R142" s="49" t="e">
        <f t="shared" si="146"/>
        <v>#DIV/0!</v>
      </c>
      <c r="S142" s="46"/>
      <c r="T142" s="49" t="e">
        <f t="shared" si="147"/>
        <v>#DIV/0!</v>
      </c>
      <c r="U142" s="46"/>
      <c r="V142" s="49" t="e">
        <f t="shared" si="148"/>
        <v>#DIV/0!</v>
      </c>
      <c r="W142" s="46"/>
      <c r="X142" s="49" t="e">
        <f t="shared" si="149"/>
        <v>#DIV/0!</v>
      </c>
      <c r="Y142" s="46"/>
      <c r="Z142" s="132" t="e">
        <f t="shared" si="150"/>
        <v>#DIV/0!</v>
      </c>
      <c r="AA142" s="105">
        <f t="shared" si="151"/>
        <v>0</v>
      </c>
      <c r="AB142" s="108" t="e">
        <f t="shared" si="152"/>
        <v>#DIV/0!</v>
      </c>
      <c r="AC142" s="89">
        <f t="shared" si="94"/>
        <v>0</v>
      </c>
      <c r="AD142" s="92" t="e">
        <f t="shared" si="153"/>
        <v>#DIV/0!</v>
      </c>
      <c r="AE142" s="214"/>
      <c r="AF142" s="54"/>
      <c r="AH142" s="21">
        <f t="shared" si="98"/>
        <v>0</v>
      </c>
    </row>
    <row r="143" spans="1:35" s="289" customFormat="1" ht="15" customHeight="1">
      <c r="A143" s="48">
        <v>6798</v>
      </c>
      <c r="B143" s="48" t="s">
        <v>188</v>
      </c>
      <c r="C143" s="59">
        <f>SUM(C135:C142)</f>
        <v>0</v>
      </c>
      <c r="D143" s="69" t="e">
        <f>C143/C12</f>
        <v>#DIV/0!</v>
      </c>
      <c r="E143" s="59">
        <f>SUM(E135:E142)</f>
        <v>0</v>
      </c>
      <c r="F143" s="69" t="e">
        <f>E143/E12</f>
        <v>#DIV/0!</v>
      </c>
      <c r="G143" s="59">
        <f>SUM(G135:G142)</f>
        <v>0</v>
      </c>
      <c r="H143" s="69" t="e">
        <f>G143/G12</f>
        <v>#DIV/0!</v>
      </c>
      <c r="I143" s="59">
        <f>SUM(I135:I142)</f>
        <v>0</v>
      </c>
      <c r="J143" s="69" t="e">
        <f>I143/I12</f>
        <v>#DIV/0!</v>
      </c>
      <c r="K143" s="59">
        <f>SUM(K135:K142)</f>
        <v>0</v>
      </c>
      <c r="L143" s="69" t="e">
        <f>K143/K12</f>
        <v>#DIV/0!</v>
      </c>
      <c r="M143" s="59">
        <f>SUM(M135:M142)</f>
        <v>0</v>
      </c>
      <c r="N143" s="69" t="e">
        <f>M143/M12</f>
        <v>#DIV/0!</v>
      </c>
      <c r="O143" s="59">
        <f>SUM(O135:O142)</f>
        <v>0</v>
      </c>
      <c r="P143" s="69" t="e">
        <f>O143/O12</f>
        <v>#DIV/0!</v>
      </c>
      <c r="Q143" s="59">
        <f>SUM(Q135:Q142)</f>
        <v>0</v>
      </c>
      <c r="R143" s="69" t="e">
        <f>Q143/Q12</f>
        <v>#DIV/0!</v>
      </c>
      <c r="S143" s="59">
        <f>SUM(S135:S142)</f>
        <v>0</v>
      </c>
      <c r="T143" s="69" t="e">
        <f t="shared" si="147"/>
        <v>#DIV/0!</v>
      </c>
      <c r="U143" s="59">
        <f>SUM(U135:U142)</f>
        <v>0</v>
      </c>
      <c r="V143" s="69" t="e">
        <f>U143/U12</f>
        <v>#DIV/0!</v>
      </c>
      <c r="W143" s="59">
        <f>SUM(W135:W142)</f>
        <v>0</v>
      </c>
      <c r="X143" s="69" t="e">
        <f>W143/W12</f>
        <v>#DIV/0!</v>
      </c>
      <c r="Y143" s="59">
        <f>SUM(Y135:Y142)</f>
        <v>0</v>
      </c>
      <c r="Z143" s="69" t="e">
        <f t="shared" si="150"/>
        <v>#DIV/0!</v>
      </c>
      <c r="AA143" s="114">
        <f>SUM(AA135:AA142)</f>
        <v>0</v>
      </c>
      <c r="AB143" s="115" t="e">
        <f t="shared" si="152"/>
        <v>#DIV/0!</v>
      </c>
      <c r="AC143" s="98">
        <f t="shared" ref="AC143:AC151" si="154">AA143/12</f>
        <v>0</v>
      </c>
      <c r="AD143" s="99" t="e">
        <f t="shared" si="153"/>
        <v>#DIV/0!</v>
      </c>
      <c r="AE143" s="215"/>
      <c r="AF143" s="54"/>
      <c r="AH143" s="21">
        <f t="shared" si="98"/>
        <v>0</v>
      </c>
    </row>
    <row r="144" spans="1:35" s="289" customFormat="1" ht="15" customHeight="1">
      <c r="A144" s="48">
        <v>6799</v>
      </c>
      <c r="B144" s="48" t="s">
        <v>126</v>
      </c>
      <c r="C144" s="59">
        <f>C41+C76+C93+C115+C128+C143+C132</f>
        <v>0</v>
      </c>
      <c r="D144" s="69" t="e">
        <f>C144/C12</f>
        <v>#DIV/0!</v>
      </c>
      <c r="E144" s="59">
        <f>E41+E76+E93+E115+E128+E143+E132</f>
        <v>0</v>
      </c>
      <c r="F144" s="69" t="e">
        <f>E144/E12</f>
        <v>#DIV/0!</v>
      </c>
      <c r="G144" s="59">
        <f>G41+G76+G93+G115+G128+G143+G132</f>
        <v>0</v>
      </c>
      <c r="H144" s="69" t="e">
        <f>G144/G12</f>
        <v>#DIV/0!</v>
      </c>
      <c r="I144" s="59">
        <f>I41+I76+I93+I115+I128+I143+I132</f>
        <v>0</v>
      </c>
      <c r="J144" s="69" t="e">
        <f>I144/I12</f>
        <v>#DIV/0!</v>
      </c>
      <c r="K144" s="59">
        <f>K41+K76+K93+K115+K128+K143+K132</f>
        <v>0</v>
      </c>
      <c r="L144" s="69" t="e">
        <f>K144/K12</f>
        <v>#DIV/0!</v>
      </c>
      <c r="M144" s="59">
        <f>M41+M76+M93+M115+M128+M143+M132</f>
        <v>0</v>
      </c>
      <c r="N144" s="69" t="e">
        <f>M144/M12</f>
        <v>#DIV/0!</v>
      </c>
      <c r="O144" s="59">
        <f>O41+O76+O93+O115+O128+O143+O132</f>
        <v>0</v>
      </c>
      <c r="P144" s="69" t="e">
        <f>O144/O12</f>
        <v>#DIV/0!</v>
      </c>
      <c r="Q144" s="59">
        <f>Q41+Q76+Q93+Q115+Q128+Q143+Q132</f>
        <v>0</v>
      </c>
      <c r="R144" s="69" t="e">
        <f>Q144/Q12</f>
        <v>#DIV/0!</v>
      </c>
      <c r="S144" s="59">
        <f>S41+S76+S93+S115+S128+S143+S132</f>
        <v>0</v>
      </c>
      <c r="T144" s="69" t="e">
        <f t="shared" si="147"/>
        <v>#DIV/0!</v>
      </c>
      <c r="U144" s="59">
        <f>U41+U76+U93+U115+U128+U143+U132</f>
        <v>0</v>
      </c>
      <c r="V144" s="69" t="e">
        <f>U144/U12</f>
        <v>#DIV/0!</v>
      </c>
      <c r="W144" s="59">
        <f>W41+W76+W93+W115+W128+W143+W132</f>
        <v>0</v>
      </c>
      <c r="X144" s="69" t="e">
        <f>W144/W12</f>
        <v>#DIV/0!</v>
      </c>
      <c r="Y144" s="59">
        <f>Y41+Y76+Y93+Y115+Y128+Y143+Y132</f>
        <v>0</v>
      </c>
      <c r="Z144" s="69" t="e">
        <f t="shared" si="150"/>
        <v>#DIV/0!</v>
      </c>
      <c r="AA144" s="43">
        <f>AA41+AA76+AA93+AA115+AA128+AA143+AA132</f>
        <v>0</v>
      </c>
      <c r="AB144" s="115" t="e">
        <f t="shared" si="152"/>
        <v>#DIV/0!</v>
      </c>
      <c r="AC144" s="43">
        <f t="shared" si="154"/>
        <v>0</v>
      </c>
      <c r="AD144" s="99" t="e">
        <f t="shared" si="153"/>
        <v>#DIV/0!</v>
      </c>
      <c r="AE144" s="215"/>
      <c r="AF144" s="54"/>
      <c r="AH144" s="21">
        <f t="shared" si="98"/>
        <v>0</v>
      </c>
    </row>
    <row r="145" spans="1:34" s="289" customFormat="1" ht="15.75" customHeight="1" thickBot="1">
      <c r="A145" s="11">
        <v>6999</v>
      </c>
      <c r="B145" s="11" t="s">
        <v>135</v>
      </c>
      <c r="C145" s="60">
        <f>C134-C143</f>
        <v>0</v>
      </c>
      <c r="D145" s="70" t="e">
        <f>C145/C12</f>
        <v>#DIV/0!</v>
      </c>
      <c r="E145" s="60">
        <f>E134-E143</f>
        <v>0</v>
      </c>
      <c r="F145" s="70" t="e">
        <f>E145/E12</f>
        <v>#DIV/0!</v>
      </c>
      <c r="G145" s="60">
        <f>G134-G143</f>
        <v>0</v>
      </c>
      <c r="H145" s="70" t="e">
        <f>G145/G12</f>
        <v>#DIV/0!</v>
      </c>
      <c r="I145" s="60">
        <f>I134-I143</f>
        <v>0</v>
      </c>
      <c r="J145" s="70" t="e">
        <f>I145/I12</f>
        <v>#DIV/0!</v>
      </c>
      <c r="K145" s="60">
        <f>K134-K143</f>
        <v>0</v>
      </c>
      <c r="L145" s="70" t="e">
        <f>K145/K12</f>
        <v>#DIV/0!</v>
      </c>
      <c r="M145" s="60">
        <f>M134-M143</f>
        <v>0</v>
      </c>
      <c r="N145" s="70" t="e">
        <f>M145/M12</f>
        <v>#DIV/0!</v>
      </c>
      <c r="O145" s="60">
        <f>O134-O143</f>
        <v>0</v>
      </c>
      <c r="P145" s="70" t="e">
        <f>O145/O12</f>
        <v>#DIV/0!</v>
      </c>
      <c r="Q145" s="60">
        <f>Q134-Q143</f>
        <v>0</v>
      </c>
      <c r="R145" s="70" t="e">
        <f>Q145/Q12</f>
        <v>#DIV/0!</v>
      </c>
      <c r="S145" s="60">
        <f>S134-S143</f>
        <v>0</v>
      </c>
      <c r="T145" s="70" t="e">
        <f t="shared" si="147"/>
        <v>#DIV/0!</v>
      </c>
      <c r="U145" s="60">
        <f>U134-U143</f>
        <v>0</v>
      </c>
      <c r="V145" s="70" t="e">
        <f>U145/U12</f>
        <v>#DIV/0!</v>
      </c>
      <c r="W145" s="60">
        <f>W134-W143</f>
        <v>0</v>
      </c>
      <c r="X145" s="70" t="e">
        <f>W145/W12</f>
        <v>#DIV/0!</v>
      </c>
      <c r="Y145" s="60">
        <f>Y134-Y143</f>
        <v>0</v>
      </c>
      <c r="Z145" s="70" t="e">
        <f t="shared" si="150"/>
        <v>#DIV/0!</v>
      </c>
      <c r="AA145" s="109">
        <f>AA134-AA143</f>
        <v>0</v>
      </c>
      <c r="AB145" s="110" t="e">
        <f t="shared" si="152"/>
        <v>#DIV/0!</v>
      </c>
      <c r="AC145" s="93">
        <f t="shared" si="154"/>
        <v>0</v>
      </c>
      <c r="AD145" s="94" t="e">
        <f t="shared" si="153"/>
        <v>#DIV/0!</v>
      </c>
      <c r="AE145" s="218"/>
      <c r="AF145" s="219"/>
      <c r="AG145" s="209"/>
      <c r="AH145" s="21">
        <f t="shared" si="98"/>
        <v>0</v>
      </c>
    </row>
    <row r="146" spans="1:34" s="289" customFormat="1" ht="15.75" customHeight="1" thickTop="1">
      <c r="C146" s="63"/>
      <c r="D146" s="18"/>
      <c r="E146" s="63"/>
      <c r="F146" s="77"/>
      <c r="G146" s="63"/>
      <c r="H146" s="77"/>
      <c r="I146" s="63"/>
      <c r="J146" s="77"/>
      <c r="K146" s="63"/>
      <c r="L146" s="77"/>
      <c r="M146" s="63"/>
      <c r="N146" s="77"/>
      <c r="O146" s="63"/>
      <c r="P146" s="77"/>
      <c r="Q146" s="63"/>
      <c r="R146" s="77"/>
      <c r="S146" s="63"/>
      <c r="T146" s="77"/>
      <c r="U146" s="63"/>
      <c r="V146" s="77"/>
      <c r="W146" s="63"/>
      <c r="X146" s="77"/>
      <c r="Y146" s="63"/>
      <c r="Z146" s="77"/>
      <c r="AA146" s="106"/>
      <c r="AB146" s="107"/>
      <c r="AC146" s="90">
        <f t="shared" si="154"/>
        <v>0</v>
      </c>
      <c r="AD146" s="91"/>
      <c r="AE146" s="213"/>
      <c r="AF146" s="54"/>
      <c r="AH146" s="21">
        <f t="shared" si="98"/>
        <v>0</v>
      </c>
    </row>
    <row r="147" spans="1:34" s="289" customFormat="1" ht="15.75" customHeight="1" thickBot="1">
      <c r="A147" s="140"/>
      <c r="B147" s="11" t="s">
        <v>192</v>
      </c>
      <c r="C147" s="157">
        <v>0</v>
      </c>
      <c r="D147" s="143" t="e">
        <f>C147/C12</f>
        <v>#DIV/0!</v>
      </c>
      <c r="E147" s="157">
        <v>0</v>
      </c>
      <c r="F147" s="143" t="e">
        <f>E147/E12</f>
        <v>#DIV/0!</v>
      </c>
      <c r="G147" s="157">
        <v>0</v>
      </c>
      <c r="H147" s="143" t="e">
        <f>G147/G12</f>
        <v>#DIV/0!</v>
      </c>
      <c r="I147" s="157">
        <v>0</v>
      </c>
      <c r="J147" s="143" t="e">
        <f>I147/I12</f>
        <v>#DIV/0!</v>
      </c>
      <c r="K147" s="157">
        <v>0</v>
      </c>
      <c r="L147" s="143" t="e">
        <f>K147/K12</f>
        <v>#DIV/0!</v>
      </c>
      <c r="M147" s="157">
        <v>0</v>
      </c>
      <c r="N147" s="143" t="e">
        <f>M147/M12</f>
        <v>#DIV/0!</v>
      </c>
      <c r="O147" s="157">
        <v>0</v>
      </c>
      <c r="P147" s="143" t="e">
        <f>O147/O12</f>
        <v>#DIV/0!</v>
      </c>
      <c r="Q147" s="157">
        <v>0</v>
      </c>
      <c r="R147" s="143" t="e">
        <f>Q147/Q12</f>
        <v>#DIV/0!</v>
      </c>
      <c r="S147" s="157">
        <v>0</v>
      </c>
      <c r="T147" s="143" t="e">
        <f>S147/S12</f>
        <v>#DIV/0!</v>
      </c>
      <c r="U147" s="157">
        <v>0</v>
      </c>
      <c r="V147" s="143" t="e">
        <f>U147/U12</f>
        <v>#DIV/0!</v>
      </c>
      <c r="W147" s="157">
        <v>0</v>
      </c>
      <c r="X147" s="143" t="e">
        <f>W147/W12</f>
        <v>#DIV/0!</v>
      </c>
      <c r="Y147" s="157">
        <v>0</v>
      </c>
      <c r="Z147" s="143" t="e">
        <f>Y147/Y12</f>
        <v>#DIV/0!</v>
      </c>
      <c r="AA147" s="157">
        <f>C147+E147+G147+I147+K147+M147+O147+Q147+S147+U147+W147+Y147</f>
        <v>0</v>
      </c>
      <c r="AB147" s="143" t="e">
        <f>AA147/AA12</f>
        <v>#DIV/0!</v>
      </c>
      <c r="AC147" s="157">
        <f t="shared" si="154"/>
        <v>0</v>
      </c>
      <c r="AD147" s="143" t="e">
        <f>AC147/AC12</f>
        <v>#DIV/0!</v>
      </c>
      <c r="AE147" s="226"/>
      <c r="AF147" s="219"/>
      <c r="AG147" s="209"/>
      <c r="AH147" s="21">
        <f t="shared" si="98"/>
        <v>0</v>
      </c>
    </row>
    <row r="148" spans="1:34" s="289" customFormat="1" ht="15.75" customHeight="1" thickTop="1">
      <c r="B148" s="66"/>
      <c r="C148" s="64"/>
      <c r="D148" s="19"/>
      <c r="E148" s="580"/>
      <c r="F148" s="78"/>
      <c r="G148" s="580"/>
      <c r="H148" s="78"/>
      <c r="I148" s="580"/>
      <c r="J148" s="78"/>
      <c r="K148" s="580"/>
      <c r="L148" s="78"/>
      <c r="M148" s="580"/>
      <c r="N148" s="78"/>
      <c r="O148" s="580"/>
      <c r="P148" s="78"/>
      <c r="Q148" s="580"/>
      <c r="R148" s="78"/>
      <c r="S148" s="580"/>
      <c r="T148" s="78"/>
      <c r="U148" s="580"/>
      <c r="V148" s="78"/>
      <c r="W148" s="580"/>
      <c r="X148" s="78"/>
      <c r="Y148" s="580"/>
      <c r="Z148" s="78"/>
      <c r="AA148" s="103"/>
      <c r="AB148" s="104"/>
      <c r="AC148" s="87">
        <f t="shared" si="154"/>
        <v>0</v>
      </c>
      <c r="AD148" s="88"/>
      <c r="AE148" s="160"/>
      <c r="AF148" s="54"/>
      <c r="AH148" s="21">
        <f t="shared" ref="AH148:AH151" si="155">Q148*5.09</f>
        <v>0</v>
      </c>
    </row>
    <row r="149" spans="1:34" s="289" customFormat="1" ht="15.75" customHeight="1" thickBot="1">
      <c r="A149" s="140"/>
      <c r="B149" s="282" t="s">
        <v>206</v>
      </c>
      <c r="C149" s="157">
        <v>0</v>
      </c>
      <c r="D149" s="281"/>
      <c r="E149" s="157">
        <v>0</v>
      </c>
      <c r="F149" s="143"/>
      <c r="G149" s="157">
        <v>0</v>
      </c>
      <c r="H149" s="143"/>
      <c r="I149" s="157">
        <v>0</v>
      </c>
      <c r="J149" s="143"/>
      <c r="K149" s="157">
        <v>0</v>
      </c>
      <c r="L149" s="143"/>
      <c r="M149" s="157">
        <v>0</v>
      </c>
      <c r="N149" s="143"/>
      <c r="O149" s="157">
        <v>0</v>
      </c>
      <c r="P149" s="143"/>
      <c r="Q149" s="157">
        <v>0</v>
      </c>
      <c r="R149" s="143"/>
      <c r="S149" s="157">
        <v>0</v>
      </c>
      <c r="T149" s="143"/>
      <c r="U149" s="157">
        <v>0</v>
      </c>
      <c r="V149" s="143"/>
      <c r="W149" s="157">
        <v>0</v>
      </c>
      <c r="X149" s="143"/>
      <c r="Y149" s="157">
        <v>0</v>
      </c>
      <c r="Z149" s="143"/>
      <c r="AA149" s="157">
        <f>C149+E149+G149+I149+K149+M149+O149+Q149+S149+U149+W149+Y149</f>
        <v>0</v>
      </c>
      <c r="AB149" s="143"/>
      <c r="AC149" s="157">
        <f t="shared" si="154"/>
        <v>0</v>
      </c>
      <c r="AD149" s="143"/>
      <c r="AE149" s="160"/>
      <c r="AF149" s="54"/>
      <c r="AH149" s="21">
        <f t="shared" si="155"/>
        <v>0</v>
      </c>
    </row>
    <row r="150" spans="1:34" s="289" customFormat="1" ht="15.75" customHeight="1" thickTop="1">
      <c r="B150" s="66"/>
      <c r="C150" s="64"/>
      <c r="D150" s="19"/>
      <c r="E150" s="580"/>
      <c r="F150" s="78"/>
      <c r="G150" s="580"/>
      <c r="H150" s="78"/>
      <c r="I150" s="580"/>
      <c r="J150" s="78"/>
      <c r="K150" s="580"/>
      <c r="L150" s="78"/>
      <c r="M150" s="580"/>
      <c r="N150" s="78"/>
      <c r="O150" s="580"/>
      <c r="P150" s="78"/>
      <c r="Q150" s="580"/>
      <c r="R150" s="78"/>
      <c r="S150" s="580"/>
      <c r="T150" s="78"/>
      <c r="U150" s="580"/>
      <c r="V150" s="78"/>
      <c r="W150" s="580"/>
      <c r="X150" s="78"/>
      <c r="Y150" s="580"/>
      <c r="Z150" s="78"/>
      <c r="AA150" s="103"/>
      <c r="AB150" s="104"/>
      <c r="AC150" s="87">
        <f t="shared" si="154"/>
        <v>0</v>
      </c>
      <c r="AD150" s="88"/>
      <c r="AE150" s="160"/>
      <c r="AF150" s="54"/>
      <c r="AH150" s="21">
        <f t="shared" si="155"/>
        <v>0</v>
      </c>
    </row>
    <row r="151" spans="1:34" s="289" customFormat="1" ht="15.75" customHeight="1" thickBot="1">
      <c r="A151" s="140"/>
      <c r="B151" s="148" t="s">
        <v>189</v>
      </c>
      <c r="C151" s="157">
        <f>C145-C147-C149</f>
        <v>0</v>
      </c>
      <c r="D151" s="143" t="e">
        <f>C151/C12</f>
        <v>#DIV/0!</v>
      </c>
      <c r="E151" s="157">
        <f>E145-E147-E149</f>
        <v>0</v>
      </c>
      <c r="F151" s="143" t="e">
        <f>E151/E12</f>
        <v>#DIV/0!</v>
      </c>
      <c r="G151" s="157">
        <f>G145-G147-G149</f>
        <v>0</v>
      </c>
      <c r="H151" s="143" t="e">
        <f>G151/G12</f>
        <v>#DIV/0!</v>
      </c>
      <c r="I151" s="157">
        <f>I145-I147-I149</f>
        <v>0</v>
      </c>
      <c r="J151" s="143" t="e">
        <f>I151/I12</f>
        <v>#DIV/0!</v>
      </c>
      <c r="K151" s="157">
        <f>K145-K147-K149</f>
        <v>0</v>
      </c>
      <c r="L151" s="143" t="e">
        <f>K151/K12</f>
        <v>#DIV/0!</v>
      </c>
      <c r="M151" s="157">
        <f>M145-M147-M149</f>
        <v>0</v>
      </c>
      <c r="N151" s="143" t="e">
        <f>M151/M12</f>
        <v>#DIV/0!</v>
      </c>
      <c r="O151" s="157">
        <f>O145-O147-O149</f>
        <v>0</v>
      </c>
      <c r="P151" s="143" t="e">
        <f>O151/O12</f>
        <v>#DIV/0!</v>
      </c>
      <c r="Q151" s="157">
        <f>Q145-Q147-Q149</f>
        <v>0</v>
      </c>
      <c r="R151" s="143" t="e">
        <f>Q151/Q12</f>
        <v>#DIV/0!</v>
      </c>
      <c r="S151" s="157">
        <f>S145-S147-S149</f>
        <v>0</v>
      </c>
      <c r="T151" s="143" t="e">
        <f>S151/S12</f>
        <v>#DIV/0!</v>
      </c>
      <c r="U151" s="157">
        <f>U145-U147-U149</f>
        <v>0</v>
      </c>
      <c r="V151" s="143" t="e">
        <f>U151/U12</f>
        <v>#DIV/0!</v>
      </c>
      <c r="W151" s="157">
        <f>W145-W147-W149</f>
        <v>0</v>
      </c>
      <c r="X151" s="143" t="e">
        <f>W151/W12</f>
        <v>#DIV/0!</v>
      </c>
      <c r="Y151" s="157">
        <f>Y145-Y147-Y149</f>
        <v>0</v>
      </c>
      <c r="Z151" s="143" t="e">
        <f>Y151/Y12</f>
        <v>#DIV/0!</v>
      </c>
      <c r="AA151" s="156">
        <f>AA145-AA147</f>
        <v>0</v>
      </c>
      <c r="AB151" s="143" t="e">
        <f>AA151/AA12</f>
        <v>#DIV/0!</v>
      </c>
      <c r="AC151" s="156">
        <f t="shared" si="154"/>
        <v>0</v>
      </c>
      <c r="AD151" s="143" t="e">
        <f>AC151/AC12</f>
        <v>#DIV/0!</v>
      </c>
      <c r="AE151" s="226"/>
      <c r="AF151" s="219"/>
      <c r="AG151" s="209"/>
      <c r="AH151" s="21">
        <f t="shared" si="155"/>
        <v>0</v>
      </c>
    </row>
    <row r="152" spans="1:34" s="289" customFormat="1" ht="15.75" thickTop="1">
      <c r="B152" s="130"/>
      <c r="C152" s="64"/>
      <c r="D152" s="19"/>
      <c r="E152" s="64"/>
      <c r="F152" s="78"/>
      <c r="G152" s="64"/>
      <c r="H152" s="78"/>
      <c r="I152" s="64"/>
      <c r="J152" s="78"/>
      <c r="K152" s="27"/>
      <c r="L152" s="78"/>
      <c r="M152" s="27"/>
      <c r="N152" s="78"/>
      <c r="O152" s="27"/>
      <c r="P152" s="78"/>
      <c r="Q152" s="64"/>
      <c r="R152" s="78"/>
      <c r="S152" s="64"/>
      <c r="T152" s="78"/>
      <c r="V152" s="78"/>
      <c r="X152" s="78"/>
      <c r="Z152" s="78"/>
      <c r="AA152" s="103"/>
      <c r="AB152" s="104"/>
      <c r="AC152" s="87"/>
      <c r="AD152" s="160"/>
      <c r="AE152" s="160"/>
      <c r="AF152" s="64"/>
      <c r="AH152" s="27"/>
    </row>
    <row r="153" spans="1:34" s="289" customFormat="1">
      <c r="B153" s="180" t="s">
        <v>138</v>
      </c>
      <c r="C153" s="64">
        <f>C151</f>
        <v>0</v>
      </c>
      <c r="D153" s="19"/>
      <c r="E153" s="64">
        <f>E151+C153</f>
        <v>0</v>
      </c>
      <c r="F153" s="78"/>
      <c r="G153" s="64">
        <f>G151+E153</f>
        <v>0</v>
      </c>
      <c r="H153" s="78"/>
      <c r="I153" s="64">
        <f>I151+G153</f>
        <v>0</v>
      </c>
      <c r="J153" s="78"/>
      <c r="K153" s="64">
        <f>K151+I153</f>
        <v>0</v>
      </c>
      <c r="L153" s="78"/>
      <c r="M153" s="64">
        <f>M151+K153</f>
        <v>0</v>
      </c>
      <c r="N153" s="78"/>
      <c r="O153" s="64">
        <f>O151+M153</f>
        <v>0</v>
      </c>
      <c r="P153" s="78"/>
      <c r="Q153" s="64">
        <f>Q151+O153</f>
        <v>0</v>
      </c>
      <c r="R153" s="78"/>
      <c r="S153" s="64">
        <f>S151+Q153</f>
        <v>0</v>
      </c>
      <c r="T153" s="78"/>
      <c r="U153" s="64">
        <f>U151+S153</f>
        <v>0</v>
      </c>
      <c r="V153" s="78"/>
      <c r="W153" s="64">
        <f>W151+U153</f>
        <v>0</v>
      </c>
      <c r="X153" s="78"/>
      <c r="Y153" s="64">
        <f>Y151+W153</f>
        <v>0</v>
      </c>
      <c r="AB153" s="104"/>
      <c r="AC153" s="87"/>
      <c r="AD153" s="88"/>
      <c r="AE153" s="160"/>
      <c r="AF153" s="64"/>
      <c r="AH153" s="27"/>
    </row>
    <row r="154" spans="1:34" s="289" customFormat="1">
      <c r="C154" s="64"/>
      <c r="D154" s="19"/>
      <c r="E154" s="64"/>
      <c r="F154" s="78"/>
      <c r="G154" s="64"/>
      <c r="H154" s="78"/>
      <c r="I154" s="64">
        <v>-7208.55</v>
      </c>
      <c r="J154" s="78"/>
      <c r="K154" s="27"/>
      <c r="L154" s="78"/>
      <c r="M154" s="27"/>
      <c r="N154" s="78"/>
      <c r="O154" s="27"/>
      <c r="P154" s="78"/>
      <c r="R154" s="78"/>
      <c r="T154" s="78"/>
      <c r="V154" s="78"/>
      <c r="X154" s="78"/>
      <c r="Z154" s="298" t="s">
        <v>103</v>
      </c>
      <c r="AA154" s="295">
        <f>AA151*5.09</f>
        <v>0</v>
      </c>
      <c r="AB154" s="104"/>
      <c r="AC154" s="87"/>
      <c r="AD154" s="88"/>
      <c r="AE154" s="160"/>
      <c r="AF154" s="64"/>
      <c r="AH154" s="27"/>
    </row>
    <row r="155" spans="1:34">
      <c r="B155" s="297" t="s">
        <v>103</v>
      </c>
      <c r="C155" s="168">
        <f>C153*5.09</f>
        <v>0</v>
      </c>
      <c r="E155" s="168">
        <f>E153*5.09</f>
        <v>0</v>
      </c>
      <c r="G155" s="168">
        <f>G153*5.09</f>
        <v>0</v>
      </c>
      <c r="I155" s="168">
        <f>I153*5.09</f>
        <v>0</v>
      </c>
      <c r="K155" s="260">
        <f>K153*5.09</f>
        <v>0</v>
      </c>
      <c r="M155" s="260">
        <f>M153*5.09</f>
        <v>0</v>
      </c>
      <c r="O155" s="168">
        <f>O153*5.09</f>
        <v>0</v>
      </c>
      <c r="Q155" s="168">
        <f>Q153*5.09</f>
        <v>0</v>
      </c>
      <c r="S155" s="168">
        <f>S153*5.09</f>
        <v>0</v>
      </c>
      <c r="U155" s="168">
        <f>U153*5.09</f>
        <v>0</v>
      </c>
      <c r="W155" s="168">
        <f>W153*5.09</f>
        <v>0</v>
      </c>
      <c r="Y155" s="168">
        <f>Y153*5.09</f>
        <v>0</v>
      </c>
    </row>
    <row r="157" spans="1:34">
      <c r="D157" s="358"/>
      <c r="S157" s="330"/>
      <c r="AA157" s="260"/>
    </row>
    <row r="158" spans="1:34">
      <c r="D158" s="359"/>
    </row>
    <row r="159" spans="1:34">
      <c r="D159" s="359"/>
    </row>
    <row r="160" spans="1:34">
      <c r="D160" s="358"/>
    </row>
    <row r="161" spans="4:4">
      <c r="D161" s="358"/>
    </row>
  </sheetData>
  <mergeCells count="15">
    <mergeCell ref="A1:AD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rintOptions gridLines="1"/>
  <pageMargins left="0.70866141732283505" right="0.70866141732283505" top="0.74803149606299202" bottom="1.1000000000000001" header="0.31496062992126" footer="0.31496062992126"/>
  <pageSetup paperSize="8" scale="53" fitToHeight="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52"/>
  <sheetViews>
    <sheetView topLeftCell="AC1" workbookViewId="0">
      <selection activeCell="AC1" sqref="AC1"/>
    </sheetView>
  </sheetViews>
  <sheetFormatPr defaultRowHeight="15"/>
  <cols>
    <col min="1" max="1" width="6.42578125" style="289" hidden="1" customWidth="1"/>
    <col min="2" max="2" width="32.85546875" hidden="1" customWidth="1"/>
    <col min="3" max="3" width="17.140625" hidden="1" customWidth="1"/>
    <col min="4" max="4" width="4.5703125" hidden="1" customWidth="1"/>
    <col min="5" max="5" width="13.28515625" hidden="1" customWidth="1"/>
    <col min="6" max="6" width="5.140625" hidden="1" customWidth="1"/>
    <col min="7" max="7" width="13.28515625" hidden="1" customWidth="1"/>
    <col min="8" max="8" width="9.140625" hidden="1" customWidth="1"/>
    <col min="9" max="9" width="13.28515625" hidden="1" customWidth="1"/>
    <col min="10" max="10" width="9.140625" hidden="1" customWidth="1"/>
    <col min="11" max="11" width="13.28515625" hidden="1" customWidth="1"/>
    <col min="12" max="12" width="9.140625" hidden="1" customWidth="1"/>
    <col min="13" max="13" width="13.28515625" hidden="1" customWidth="1"/>
    <col min="14" max="14" width="10.5703125" hidden="1" customWidth="1"/>
    <col min="15" max="15" width="13.28515625" hidden="1" customWidth="1"/>
    <col min="16" max="16" width="0" hidden="1" customWidth="1"/>
    <col min="17" max="17" width="13.28515625" hidden="1" customWidth="1"/>
    <col min="18" max="18" width="0" hidden="1" customWidth="1"/>
    <col min="19" max="19" width="13.28515625" hidden="1" customWidth="1"/>
    <col min="20" max="20" width="0" hidden="1" customWidth="1"/>
    <col min="21" max="21" width="13.28515625" hidden="1" customWidth="1"/>
    <col min="22" max="22" width="0" hidden="1" customWidth="1"/>
    <col min="23" max="23" width="13.28515625" hidden="1" customWidth="1"/>
    <col min="24" max="24" width="0" hidden="1" customWidth="1"/>
    <col min="25" max="25" width="13.28515625" hidden="1" customWidth="1"/>
    <col min="26" max="26" width="0" hidden="1" customWidth="1"/>
    <col min="27" max="27" width="14.28515625" hidden="1" customWidth="1"/>
    <col min="28" max="28" width="0" hidden="1" customWidth="1"/>
  </cols>
  <sheetData>
    <row r="1" spans="1:28" s="289" customFormat="1">
      <c r="B1" s="289">
        <v>400</v>
      </c>
      <c r="C1" s="598" t="s">
        <v>64</v>
      </c>
      <c r="D1" s="599"/>
      <c r="E1" s="595" t="s">
        <v>65</v>
      </c>
      <c r="F1" s="595"/>
      <c r="G1" s="598" t="s">
        <v>81</v>
      </c>
      <c r="H1" s="599"/>
      <c r="I1" s="598" t="s">
        <v>82</v>
      </c>
      <c r="J1" s="599"/>
      <c r="K1" s="598" t="s">
        <v>83</v>
      </c>
      <c r="L1" s="599"/>
      <c r="M1" s="598" t="s">
        <v>84</v>
      </c>
      <c r="N1" s="602"/>
      <c r="O1" s="598" t="s">
        <v>85</v>
      </c>
      <c r="P1" s="599"/>
      <c r="Q1" s="598" t="s">
        <v>86</v>
      </c>
      <c r="R1" s="599"/>
      <c r="S1" s="595" t="s">
        <v>87</v>
      </c>
      <c r="T1" s="595"/>
      <c r="U1" s="598" t="s">
        <v>120</v>
      </c>
      <c r="V1" s="599"/>
      <c r="W1" s="598" t="s">
        <v>121</v>
      </c>
      <c r="X1" s="599"/>
      <c r="Y1" s="595" t="s">
        <v>122</v>
      </c>
      <c r="Z1" s="595"/>
      <c r="AA1" s="596" t="s">
        <v>118</v>
      </c>
      <c r="AB1" s="596"/>
    </row>
    <row r="2" spans="1:28" ht="15.75" thickBot="1">
      <c r="A2" s="41">
        <v>5199</v>
      </c>
      <c r="B2" s="41" t="s">
        <v>71</v>
      </c>
      <c r="C2" s="64">
        <f>'400'!C16*5.09</f>
        <v>730252.12</v>
      </c>
      <c r="E2" s="64">
        <f>'400'!E16*5.09</f>
        <v>568135.62</v>
      </c>
      <c r="G2" s="64">
        <f>'400'!G16*5.09</f>
        <v>942413.72826637921</v>
      </c>
      <c r="I2" s="64">
        <f>'400'!I16*5.09</f>
        <v>832145.91835345025</v>
      </c>
      <c r="K2" s="64">
        <f>'400'!K16*5.09</f>
        <v>761082.2137673184</v>
      </c>
      <c r="M2" s="64">
        <f>'400'!M16*5.09</f>
        <v>1079204.0417706328</v>
      </c>
      <c r="O2" s="64">
        <f>'400'!O16*5.09</f>
        <v>683255.43325275963</v>
      </c>
      <c r="Q2" s="64">
        <f>'400'!Q16*5.09</f>
        <v>848424.9450716899</v>
      </c>
      <c r="S2" s="64">
        <f>'400'!S16*5.09</f>
        <v>854685.70672220236</v>
      </c>
      <c r="U2" s="64">
        <f>'400'!U16*5.09</f>
        <v>677942.28304230387</v>
      </c>
      <c r="W2" s="64">
        <f>'400'!W16*5.09</f>
        <v>689766.63324920635</v>
      </c>
      <c r="Y2" s="64">
        <f>'400'!Y16*5.09</f>
        <v>1042005.2641249998</v>
      </c>
      <c r="AA2" s="64">
        <f>C2+E2+G2+I2+K2+M2+O2+Q2+S2+U2+W2+Y2</f>
        <v>9709313.9076209441</v>
      </c>
    </row>
    <row r="3" spans="1:28" ht="15.75" thickTop="1">
      <c r="A3" s="9">
        <v>5999</v>
      </c>
      <c r="B3" s="360" t="s">
        <v>111</v>
      </c>
      <c r="C3" s="64">
        <f>'400'!C36*5.09</f>
        <v>369587.36763200001</v>
      </c>
      <c r="E3" s="64">
        <f>'400'!E36*5.09</f>
        <v>282264.142032</v>
      </c>
      <c r="G3" s="64">
        <f>'400'!G36*5.09</f>
        <v>495280.22812027618</v>
      </c>
      <c r="H3" s="302"/>
      <c r="I3" s="64">
        <f>'400'!I36*5.09</f>
        <v>449693.33325782692</v>
      </c>
      <c r="J3" s="302"/>
      <c r="K3" s="64">
        <f>'400'!K36*5.09</f>
        <v>357942.76782172825</v>
      </c>
      <c r="M3" s="64">
        <f>'400'!M36*5.09</f>
        <v>626691.54018519644</v>
      </c>
      <c r="O3" s="64">
        <f>'400'!O36*5.09</f>
        <v>364982.66277384182</v>
      </c>
      <c r="Q3" s="64">
        <f>'400'!Q36*5.09</f>
        <v>443183.05642629298</v>
      </c>
      <c r="S3" s="64">
        <f>'400'!S36*5.09</f>
        <v>468661.73301166698</v>
      </c>
      <c r="U3" s="64">
        <f>'400'!U36*5.09</f>
        <v>323719.39598848583</v>
      </c>
      <c r="W3" s="64">
        <f>'400'!W36*5.09</f>
        <v>314986.45149513963</v>
      </c>
      <c r="Y3" s="64">
        <f>'400'!Y36*5.09</f>
        <v>529503.8657528999</v>
      </c>
      <c r="AA3" s="64">
        <f t="shared" ref="AA3:AA7" si="0">C3+E3+G3+I3+K3+M3+O3+Q3+S3+U3+W3+Y3</f>
        <v>5026496.5444973549</v>
      </c>
    </row>
    <row r="4" spans="1:28">
      <c r="A4" s="48">
        <v>6799</v>
      </c>
      <c r="B4" s="48" t="s">
        <v>126</v>
      </c>
      <c r="C4" s="64">
        <f>'400'!C145*5.09</f>
        <v>369181.15241085418</v>
      </c>
      <c r="E4" s="64">
        <f>'400'!E145*5.09</f>
        <v>377187.06927157933</v>
      </c>
      <c r="G4" s="64">
        <f>'400'!G145*5.09</f>
        <v>381321.67453210225</v>
      </c>
      <c r="H4" s="302"/>
      <c r="I4" s="64">
        <f>'400'!I145*5.09</f>
        <v>396962.6936313936</v>
      </c>
      <c r="J4" s="302"/>
      <c r="K4" s="64">
        <f>'400'!K145*5.09</f>
        <v>386602.30024778057</v>
      </c>
      <c r="M4" s="64">
        <f>'400'!M145*5.09</f>
        <v>411119.18506443384</v>
      </c>
      <c r="N4" s="130"/>
      <c r="O4" s="64">
        <f>'400'!O145*5.09</f>
        <v>431185.37497675384</v>
      </c>
      <c r="Q4" s="64">
        <f>'400'!Q145*5.09</f>
        <v>467097.11005201534</v>
      </c>
      <c r="S4" s="64">
        <f>'400'!S145*5.09</f>
        <v>464073.80367855995</v>
      </c>
      <c r="U4" s="64">
        <f>'400'!U145*5.09</f>
        <v>443756.85540783749</v>
      </c>
      <c r="W4" s="64">
        <f>'400'!W145*5.09</f>
        <v>444742.48115524708</v>
      </c>
      <c r="Y4" s="64">
        <f>'400'!Y145*5.09</f>
        <v>445897.32859501493</v>
      </c>
      <c r="AA4" s="64">
        <f t="shared" si="0"/>
        <v>5019127.0290235719</v>
      </c>
    </row>
    <row r="5" spans="1:28" ht="15.75" thickBot="1">
      <c r="B5" s="148" t="s">
        <v>189</v>
      </c>
      <c r="C5" s="64">
        <f>'400'!C152*5.09</f>
        <v>-8515.8401428542202</v>
      </c>
      <c r="E5" s="64">
        <f>'400'!E152*5.09</f>
        <v>-91315.591303579378</v>
      </c>
      <c r="G5" s="64">
        <f>'400'!G152*5.09</f>
        <v>65811.774714000829</v>
      </c>
      <c r="I5" s="64">
        <f>'400'!I152*5.09</f>
        <v>-14510.108535770258</v>
      </c>
      <c r="K5" s="64">
        <f>'400'!K152*5.09</f>
        <v>16536.73849780962</v>
      </c>
      <c r="M5" s="64">
        <f>'400'!M152*5.09</f>
        <v>41393.316521002671</v>
      </c>
      <c r="O5" s="64">
        <f>'400'!O152*5.09</f>
        <v>-112912.60449783612</v>
      </c>
      <c r="Q5" s="64">
        <f>'400'!Q152*5.09</f>
        <v>-61849.622406618473</v>
      </c>
      <c r="S5" s="64">
        <f>'400'!S152*5.09</f>
        <v>-78049.829968024511</v>
      </c>
      <c r="U5" s="64">
        <f>'400'!U152*5.09</f>
        <v>-89533.968354019584</v>
      </c>
      <c r="W5" s="64">
        <f>'400'!W152*5.09</f>
        <v>-69962.299401180397</v>
      </c>
      <c r="Y5" s="64">
        <f>'400'!Y152*5.09</f>
        <v>66604.069777084893</v>
      </c>
      <c r="AA5" s="64">
        <f t="shared" si="0"/>
        <v>-336303.9650999849</v>
      </c>
    </row>
    <row r="6" spans="1:28" ht="15.75" thickTop="1">
      <c r="A6" s="48">
        <v>6798</v>
      </c>
      <c r="B6" s="48" t="s">
        <v>188</v>
      </c>
      <c r="C6" s="64">
        <f>'400'!C144*5.09</f>
        <v>58374.715900000003</v>
      </c>
      <c r="E6" s="64">
        <f>'400'!E144*5.09</f>
        <v>58374.715900000003</v>
      </c>
      <c r="G6" s="64">
        <f>'400'!G144*5.09</f>
        <v>58374.715900000003</v>
      </c>
      <c r="H6" s="302"/>
      <c r="I6" s="64">
        <f>'400'!I144*5.09</f>
        <v>58374.715900000003</v>
      </c>
      <c r="J6" s="302"/>
      <c r="K6" s="64">
        <f>'400'!K144*5.09</f>
        <v>58374.715900000003</v>
      </c>
      <c r="M6" s="64">
        <f>'400'!M144*5.09</f>
        <v>58374.715900000003</v>
      </c>
      <c r="O6" s="64">
        <f>'400'!O144*5.09</f>
        <v>58374.715900000003</v>
      </c>
      <c r="Q6" s="64">
        <f>'400'!Q144*5.09</f>
        <v>58374.715900000003</v>
      </c>
      <c r="S6" s="64">
        <f>'400'!S144*5.09</f>
        <v>58374.715900000003</v>
      </c>
      <c r="U6" s="64">
        <f>'400'!U144*5.09</f>
        <v>58374.715900000003</v>
      </c>
      <c r="W6" s="64">
        <f>'400'!W144*5.09</f>
        <v>58374.715900000003</v>
      </c>
      <c r="Y6" s="64">
        <f>'400'!Y144*5.09</f>
        <v>58374.715900000003</v>
      </c>
      <c r="AA6" s="64">
        <f t="shared" si="0"/>
        <v>700496.59079999989</v>
      </c>
    </row>
    <row r="7" spans="1:28" ht="15.75" thickBot="1">
      <c r="A7" s="4">
        <v>6299</v>
      </c>
      <c r="B7" s="4" t="s">
        <v>114</v>
      </c>
      <c r="C7" s="64">
        <f>'400'!C93*5.09</f>
        <v>68552.332083333327</v>
      </c>
      <c r="E7" s="64">
        <f>'400'!E93*5.09</f>
        <v>68552.332083333327</v>
      </c>
      <c r="G7" s="64">
        <f>'400'!G93*5.09</f>
        <v>68552.332083333327</v>
      </c>
      <c r="I7" s="64">
        <f>'400'!I93*5.09</f>
        <v>68552.332083333327</v>
      </c>
      <c r="K7" s="64">
        <f>'400'!K93*5.09</f>
        <v>68552.332083333327</v>
      </c>
      <c r="M7" s="64">
        <f>'400'!M93*5.09</f>
        <v>68552.332083333327</v>
      </c>
      <c r="O7" s="64">
        <f>'400'!O93*5.09</f>
        <v>68552.332083333327</v>
      </c>
      <c r="Q7" s="64">
        <f>'400'!Q93*5.09</f>
        <v>68552.332083333327</v>
      </c>
      <c r="S7" s="64">
        <f>'400'!S93*5.09</f>
        <v>68552.332083333327</v>
      </c>
      <c r="U7" s="64">
        <f>'400'!U93*5.09</f>
        <v>68552.332083333327</v>
      </c>
      <c r="W7" s="64">
        <f>'400'!W93*5.09</f>
        <v>68552.332083333327</v>
      </c>
      <c r="Y7" s="64">
        <f>'400'!Y93*5.09</f>
        <v>68552.332083333327</v>
      </c>
      <c r="AA7" s="64">
        <f t="shared" si="0"/>
        <v>822627.98499999975</v>
      </c>
    </row>
    <row r="8" spans="1:28" ht="15.75" thickTop="1">
      <c r="H8" s="302"/>
      <c r="J8" s="302"/>
    </row>
    <row r="9" spans="1:28">
      <c r="B9" s="289">
        <v>404</v>
      </c>
      <c r="C9" s="598" t="s">
        <v>64</v>
      </c>
      <c r="D9" s="599"/>
      <c r="E9" s="595" t="s">
        <v>65</v>
      </c>
      <c r="F9" s="595"/>
      <c r="G9" s="598" t="s">
        <v>81</v>
      </c>
      <c r="H9" s="599"/>
      <c r="I9" s="598" t="s">
        <v>82</v>
      </c>
      <c r="J9" s="599"/>
      <c r="K9" s="598" t="s">
        <v>83</v>
      </c>
      <c r="L9" s="599"/>
      <c r="M9" s="598" t="s">
        <v>84</v>
      </c>
      <c r="N9" s="602"/>
      <c r="O9" s="598" t="s">
        <v>85</v>
      </c>
      <c r="P9" s="599"/>
      <c r="Q9" s="598" t="s">
        <v>86</v>
      </c>
      <c r="R9" s="599"/>
      <c r="S9" s="595" t="s">
        <v>87</v>
      </c>
      <c r="T9" s="595"/>
      <c r="U9" s="598" t="s">
        <v>120</v>
      </c>
      <c r="V9" s="599"/>
      <c r="W9" s="598" t="s">
        <v>121</v>
      </c>
      <c r="X9" s="599"/>
      <c r="Y9" s="595" t="s">
        <v>122</v>
      </c>
      <c r="Z9" s="595"/>
      <c r="AA9" s="596" t="s">
        <v>118</v>
      </c>
      <c r="AB9" s="596"/>
    </row>
    <row r="10" spans="1:28" ht="15.75" thickBot="1">
      <c r="A10" s="41">
        <v>5199</v>
      </c>
      <c r="B10" s="41" t="s">
        <v>71</v>
      </c>
      <c r="C10" s="64">
        <f>'404'!C16*5.09</f>
        <v>170978.19</v>
      </c>
      <c r="D10" s="289"/>
      <c r="E10" s="64">
        <f>'404'!E16*5.09</f>
        <v>133020.47484252736</v>
      </c>
      <c r="F10" s="289"/>
      <c r="G10" s="64">
        <f>'404'!G16*5.09</f>
        <v>220651.38292999999</v>
      </c>
      <c r="H10" s="289"/>
      <c r="I10" s="64">
        <f>'404'!I16*5.09</f>
        <v>194833.90627012227</v>
      </c>
      <c r="J10" s="289"/>
      <c r="K10" s="64">
        <f>'404'!K16*5.09</f>
        <v>178195.45517609999</v>
      </c>
      <c r="L10" s="289"/>
      <c r="M10" s="64">
        <f>'404'!M16*5.09</f>
        <v>252678.68829630909</v>
      </c>
      <c r="N10" s="289"/>
      <c r="O10" s="64">
        <f>'404'!O16*5.09</f>
        <v>159973.53601676598</v>
      </c>
      <c r="P10" s="289"/>
      <c r="Q10" s="64">
        <f>'404'!Q16*5.09</f>
        <v>198645.38487722355</v>
      </c>
      <c r="R10" s="289"/>
      <c r="S10" s="64">
        <f>'404'!S16*5.09</f>
        <v>200111.24395517132</v>
      </c>
      <c r="T10" s="289"/>
      <c r="U10" s="64">
        <f>'404'!U16*5.09</f>
        <v>158729.54528476635</v>
      </c>
      <c r="V10" s="289"/>
      <c r="W10" s="64">
        <f>'404'!W16*5.09</f>
        <v>161498.03130278958</v>
      </c>
      <c r="X10" s="289"/>
      <c r="Y10" s="64">
        <f>'404'!Y16*5.09</f>
        <v>243969.17834460145</v>
      </c>
      <c r="Z10" s="289"/>
      <c r="AA10" s="64">
        <f>C10+E10+G10+I10+K10+M10+O10+Q10+S10+U10+W10+Y10</f>
        <v>2273285.0172963766</v>
      </c>
      <c r="AB10" s="289"/>
    </row>
    <row r="11" spans="1:28" ht="15.75" thickTop="1">
      <c r="A11" s="9">
        <v>5999</v>
      </c>
      <c r="B11" s="360" t="s">
        <v>111</v>
      </c>
      <c r="C11" s="64">
        <f>'404'!C36*5.09</f>
        <v>109268.22665899999</v>
      </c>
      <c r="D11" s="289"/>
      <c r="E11" s="64">
        <f>'404'!E36*5.09</f>
        <v>83128.016924693744</v>
      </c>
      <c r="F11" s="289"/>
      <c r="G11" s="64">
        <f>'404'!G36*5.09</f>
        <v>158561.58559275899</v>
      </c>
      <c r="H11" s="302"/>
      <c r="I11" s="64">
        <f>'404'!I36*5.09</f>
        <v>119201.81569975849</v>
      </c>
      <c r="J11" s="302"/>
      <c r="K11" s="64">
        <f>'404'!K36*5.09</f>
        <v>95362.440790238019</v>
      </c>
      <c r="L11" s="289"/>
      <c r="M11" s="64">
        <f>'404'!M36*5.09</f>
        <v>176550.24213603858</v>
      </c>
      <c r="N11" s="289"/>
      <c r="O11" s="64">
        <f>'404'!O36*5.09</f>
        <v>118361.50398355151</v>
      </c>
      <c r="P11" s="289"/>
      <c r="Q11" s="64">
        <f>'404'!Q36*5.09</f>
        <v>128357.16970698106</v>
      </c>
      <c r="R11" s="289"/>
      <c r="S11" s="64">
        <f>'404'!S36*5.09</f>
        <v>150392.32172242334</v>
      </c>
      <c r="T11" s="289"/>
      <c r="U11" s="64">
        <f>'404'!U36*5.09</f>
        <v>107937.15624872985</v>
      </c>
      <c r="V11" s="289"/>
      <c r="W11" s="64">
        <f>'404'!W36*5.09</f>
        <v>72537.121961044148</v>
      </c>
      <c r="X11" s="289"/>
      <c r="Y11" s="64">
        <f>'404'!Y36*5.09</f>
        <v>146085.40871822371</v>
      </c>
      <c r="Z11" s="289"/>
      <c r="AA11" s="64">
        <f t="shared" ref="AA11:AA15" si="1">C11+E11+G11+I11+K11+M11+O11+Q11+S11+U11+W11+Y11</f>
        <v>1465743.0101434414</v>
      </c>
      <c r="AB11" s="289"/>
    </row>
    <row r="12" spans="1:28">
      <c r="A12" s="48">
        <v>6799</v>
      </c>
      <c r="B12" s="48" t="s">
        <v>126</v>
      </c>
      <c r="C12" s="64">
        <f>'404'!C145*5.09</f>
        <v>53181.349118753475</v>
      </c>
      <c r="D12" s="289"/>
      <c r="E12" s="64">
        <f>'404'!E145*5.09</f>
        <v>50846.725663592646</v>
      </c>
      <c r="F12" s="289"/>
      <c r="G12" s="64">
        <f>'404'!G145*5.09</f>
        <v>56723.579044317528</v>
      </c>
      <c r="H12" s="302"/>
      <c r="I12" s="64">
        <f>'404'!I145*5.09</f>
        <v>56303.127183628305</v>
      </c>
      <c r="J12" s="302"/>
      <c r="K12" s="64">
        <f>'404'!K145*5.09</f>
        <v>55553.510398361672</v>
      </c>
      <c r="L12" s="289"/>
      <c r="M12" s="64">
        <f>'404'!M145*5.09</f>
        <v>56820.490590010908</v>
      </c>
      <c r="N12" s="130"/>
      <c r="O12" s="64">
        <f>'404'!O145*5.09</f>
        <v>67730.549822821442</v>
      </c>
      <c r="P12" s="289"/>
      <c r="Q12" s="64">
        <f>'404'!Q145*5.09</f>
        <v>63399.525008960947</v>
      </c>
      <c r="R12" s="289"/>
      <c r="S12" s="64">
        <f>'404'!S145*5.09</f>
        <v>60110.029161977713</v>
      </c>
      <c r="T12" s="289"/>
      <c r="U12" s="64">
        <f>'404'!U145*5.09</f>
        <v>58180.161416099509</v>
      </c>
      <c r="V12" s="289"/>
      <c r="W12" s="64">
        <f>'404'!W145*5.09</f>
        <v>57597.671200570985</v>
      </c>
      <c r="X12" s="289"/>
      <c r="Y12" s="64">
        <f>'404'!Y145*5.09</f>
        <v>63104.579961581359</v>
      </c>
      <c r="Z12" s="289"/>
      <c r="AA12" s="64">
        <f t="shared" si="1"/>
        <v>699551.29857067647</v>
      </c>
      <c r="AB12" s="289"/>
    </row>
    <row r="13" spans="1:28" ht="15.75" thickBot="1">
      <c r="B13" s="148" t="s">
        <v>189</v>
      </c>
      <c r="C13" s="64">
        <f>'404'!C152*5.09</f>
        <v>8528.6142222465423</v>
      </c>
      <c r="D13" s="289"/>
      <c r="E13" s="64">
        <f>'404'!E152*5.09</f>
        <v>-954.26774575904278</v>
      </c>
      <c r="F13" s="289"/>
      <c r="G13" s="64">
        <f>'404'!G152*5.09</f>
        <v>5366.2182929234741</v>
      </c>
      <c r="H13" s="289"/>
      <c r="I13" s="64">
        <f>'404'!I152*5.09</f>
        <v>19328.963386735471</v>
      </c>
      <c r="J13" s="289"/>
      <c r="K13" s="64">
        <f>'404'!K152*5.09</f>
        <v>27279.503987500299</v>
      </c>
      <c r="L13" s="289"/>
      <c r="M13" s="64">
        <f>'404'!M152*5.09</f>
        <v>19307.955570259634</v>
      </c>
      <c r="N13" s="289"/>
      <c r="O13" s="64">
        <f>'404'!O152*5.09</f>
        <v>-26118.517789606962</v>
      </c>
      <c r="P13" s="289"/>
      <c r="Q13" s="64">
        <f>'404'!Q152*5.09</f>
        <v>6888.6901612815454</v>
      </c>
      <c r="R13" s="289"/>
      <c r="S13" s="64">
        <f>'404'!S152*5.09</f>
        <v>-10391.106929229712</v>
      </c>
      <c r="T13" s="289"/>
      <c r="U13" s="64">
        <f>'404'!U152*5.09</f>
        <v>-7387.772380062991</v>
      </c>
      <c r="V13" s="289"/>
      <c r="W13" s="64">
        <f>'404'!W152*5.09</f>
        <v>31363.238141174454</v>
      </c>
      <c r="X13" s="289"/>
      <c r="Y13" s="64">
        <f>'404'!Y152*5.09</f>
        <v>34779.189664796402</v>
      </c>
      <c r="Z13" s="289"/>
      <c r="AA13" s="64">
        <f t="shared" si="1"/>
        <v>107990.7085822591</v>
      </c>
      <c r="AB13" s="289"/>
    </row>
    <row r="14" spans="1:28" ht="15.75" thickTop="1">
      <c r="A14" s="48">
        <v>6798</v>
      </c>
      <c r="B14" s="48" t="s">
        <v>188</v>
      </c>
      <c r="C14" s="64">
        <f>'404'!C144*5.09</f>
        <v>7666.0998999999993</v>
      </c>
      <c r="D14" s="289"/>
      <c r="E14" s="64">
        <f>'404'!E144*5.09</f>
        <v>7477.668099999999</v>
      </c>
      <c r="F14" s="289"/>
      <c r="G14" s="64">
        <f>'404'!G144*5.09</f>
        <v>7854.4298999999992</v>
      </c>
      <c r="H14" s="302"/>
      <c r="I14" s="64">
        <f>'404'!I144*5.09</f>
        <v>7666.0998999999993</v>
      </c>
      <c r="J14" s="302"/>
      <c r="K14" s="64">
        <f>'404'!K144*5.09</f>
        <v>7666.0998999999993</v>
      </c>
      <c r="L14" s="289"/>
      <c r="M14" s="64">
        <f>'404'!M144*5.09</f>
        <v>7665.9980999999998</v>
      </c>
      <c r="N14" s="289"/>
      <c r="O14" s="64">
        <f>'404'!O144*5.09</f>
        <v>7666.0998999999993</v>
      </c>
      <c r="P14" s="289"/>
      <c r="Q14" s="64">
        <f>'404'!Q144*5.09</f>
        <v>7666.0998999999993</v>
      </c>
      <c r="R14" s="289"/>
      <c r="S14" s="64">
        <f>'404'!S144*5.09</f>
        <v>7666.0998999999993</v>
      </c>
      <c r="T14" s="289"/>
      <c r="U14" s="64">
        <f>'404'!U144*5.09</f>
        <v>7666.0998999999993</v>
      </c>
      <c r="V14" s="289"/>
      <c r="W14" s="64">
        <f>'404'!W144*5.09</f>
        <v>7666.0998999999993</v>
      </c>
      <c r="X14" s="289"/>
      <c r="Y14" s="64">
        <f>'404'!Y144*5.09</f>
        <v>7666.0998999999993</v>
      </c>
      <c r="Z14" s="289"/>
      <c r="AA14" s="64">
        <f t="shared" si="1"/>
        <v>91992.995200000005</v>
      </c>
      <c r="AB14" s="289"/>
    </row>
    <row r="15" spans="1:28" ht="15.75" thickBot="1">
      <c r="A15" s="4">
        <v>6299</v>
      </c>
      <c r="B15" s="4" t="s">
        <v>114</v>
      </c>
      <c r="C15" s="64">
        <f>'404'!C93*5.09</f>
        <v>15698.705250000001</v>
      </c>
      <c r="D15" s="289"/>
      <c r="E15" s="64">
        <f>'404'!E93*5.09</f>
        <v>15698.705250000001</v>
      </c>
      <c r="F15" s="289"/>
      <c r="G15" s="64">
        <f>'404'!G93*5.09</f>
        <v>15698.705250000001</v>
      </c>
      <c r="H15" s="289"/>
      <c r="I15" s="64">
        <f>'404'!I93*5.09</f>
        <v>15698.705250000001</v>
      </c>
      <c r="J15" s="289"/>
      <c r="K15" s="64">
        <f>'404'!K93*5.09</f>
        <v>15698.705250000001</v>
      </c>
      <c r="L15" s="289"/>
      <c r="M15" s="64">
        <f>'404'!M93*5.09</f>
        <v>15698.705250000001</v>
      </c>
      <c r="N15" s="289"/>
      <c r="O15" s="64">
        <f>'404'!O93*5.09</f>
        <v>15698.705250000001</v>
      </c>
      <c r="P15" s="289"/>
      <c r="Q15" s="64">
        <f>'404'!Q93*5.09</f>
        <v>15698.705250000001</v>
      </c>
      <c r="R15" s="289"/>
      <c r="S15" s="64">
        <f>'404'!S93*5.09</f>
        <v>15698.705250000001</v>
      </c>
      <c r="T15" s="289"/>
      <c r="U15" s="64">
        <f>'404'!U93*5.09</f>
        <v>15698.705250000001</v>
      </c>
      <c r="V15" s="289"/>
      <c r="W15" s="64">
        <f>'404'!W93*5.09</f>
        <v>15698.705250000001</v>
      </c>
      <c r="X15" s="289"/>
      <c r="Y15" s="64">
        <f>'404'!Y93*5.09</f>
        <v>15698.705250000001</v>
      </c>
      <c r="Z15" s="289"/>
      <c r="AA15" s="64">
        <f t="shared" si="1"/>
        <v>188384.46300000002</v>
      </c>
      <c r="AB15" s="289"/>
    </row>
    <row r="16" spans="1:28" ht="15.75" thickTop="1"/>
    <row r="18" spans="1:28">
      <c r="B18" s="289">
        <v>411</v>
      </c>
      <c r="C18" s="598" t="s">
        <v>64</v>
      </c>
      <c r="D18" s="599"/>
      <c r="E18" s="595" t="s">
        <v>65</v>
      </c>
      <c r="F18" s="595"/>
      <c r="G18" s="598" t="s">
        <v>81</v>
      </c>
      <c r="H18" s="599"/>
      <c r="I18" s="598" t="s">
        <v>82</v>
      </c>
      <c r="J18" s="599"/>
      <c r="K18" s="598" t="s">
        <v>83</v>
      </c>
      <c r="L18" s="599"/>
      <c r="M18" s="598" t="s">
        <v>84</v>
      </c>
      <c r="N18" s="602"/>
      <c r="O18" s="598" t="s">
        <v>85</v>
      </c>
      <c r="P18" s="599"/>
      <c r="Q18" s="598" t="s">
        <v>86</v>
      </c>
      <c r="R18" s="599"/>
      <c r="S18" s="595" t="s">
        <v>87</v>
      </c>
      <c r="T18" s="595"/>
      <c r="U18" s="598" t="s">
        <v>120</v>
      </c>
      <c r="V18" s="599"/>
      <c r="W18" s="598" t="s">
        <v>121</v>
      </c>
      <c r="X18" s="599"/>
      <c r="Y18" s="595" t="s">
        <v>122</v>
      </c>
      <c r="Z18" s="595"/>
      <c r="AA18" s="596" t="s">
        <v>118</v>
      </c>
      <c r="AB18" s="596"/>
    </row>
    <row r="19" spans="1:28" ht="15.75" thickBot="1">
      <c r="A19" s="41">
        <v>5199</v>
      </c>
      <c r="B19" s="41" t="s">
        <v>71</v>
      </c>
      <c r="C19" s="64">
        <f>'411'!C16*5.09</f>
        <v>1047577.99</v>
      </c>
      <c r="D19" s="289"/>
      <c r="E19" s="64">
        <f>'411'!E16*5.09</f>
        <v>815017.67913850187</v>
      </c>
      <c r="F19" s="289"/>
      <c r="G19" s="64">
        <f>'411'!G16*5.09</f>
        <v>1351933.0654711099</v>
      </c>
      <c r="H19" s="289"/>
      <c r="I19" s="64">
        <f>'411'!I16*5.09</f>
        <v>1193749.1449624302</v>
      </c>
      <c r="J19" s="289"/>
      <c r="K19" s="64">
        <f>'411'!K16*5.09</f>
        <v>1091805.2013384467</v>
      </c>
      <c r="L19" s="289"/>
      <c r="M19" s="64">
        <f>'411'!M16*5.09</f>
        <v>1548164.6592136465</v>
      </c>
      <c r="N19" s="289"/>
      <c r="O19" s="64">
        <f>'411'!O16*5.09</f>
        <v>980159.33413493435</v>
      </c>
      <c r="P19" s="289"/>
      <c r="Q19" s="64">
        <f>'411'!Q16*5.09</f>
        <v>1217102.1096253782</v>
      </c>
      <c r="R19" s="289"/>
      <c r="S19" s="64">
        <f>'411'!S16*5.09</f>
        <v>1226083.4417478757</v>
      </c>
      <c r="T19" s="289"/>
      <c r="U19" s="64">
        <f>'411'!U16*5.09</f>
        <v>972537.39141924051</v>
      </c>
      <c r="V19" s="289"/>
      <c r="W19" s="64">
        <f>'411'!W16*5.09</f>
        <v>989499.93084640545</v>
      </c>
      <c r="X19" s="289"/>
      <c r="Y19" s="64">
        <f>'411'!Y16*5.09</f>
        <v>1494801.4112198509</v>
      </c>
      <c r="Z19" s="289"/>
      <c r="AA19" s="64">
        <f>C19+E19+G19+I19+K19+M19+O19+Q19+S19+U19+W19+Y19</f>
        <v>13928431.359117821</v>
      </c>
      <c r="AB19" s="289"/>
    </row>
    <row r="20" spans="1:28" ht="15.75" thickTop="1">
      <c r="A20" s="9">
        <v>5999</v>
      </c>
      <c r="B20" s="360" t="s">
        <v>111</v>
      </c>
      <c r="C20" s="64">
        <f>'411'!C36*5.09</f>
        <v>539951.8914529999</v>
      </c>
      <c r="D20" s="289"/>
      <c r="E20" s="64">
        <f>'411'!E36*5.09</f>
        <v>421801.63304295007</v>
      </c>
      <c r="F20" s="289"/>
      <c r="G20" s="64">
        <f>'411'!G36*5.09</f>
        <v>756494.08359835041</v>
      </c>
      <c r="H20" s="302"/>
      <c r="I20" s="64">
        <f>'411'!I36*5.09</f>
        <v>632734.29734311043</v>
      </c>
      <c r="J20" s="302"/>
      <c r="K20" s="64">
        <f>'411'!K36*5.09</f>
        <v>499718.47701167013</v>
      </c>
      <c r="L20" s="289"/>
      <c r="M20" s="64">
        <f>'411'!M36*5.09</f>
        <v>846525.85332841519</v>
      </c>
      <c r="N20" s="289"/>
      <c r="O20" s="64">
        <f>'411'!O36*5.09</f>
        <v>517895.56468959141</v>
      </c>
      <c r="P20" s="289"/>
      <c r="Q20" s="64">
        <f>'411'!Q36*5.09</f>
        <v>710455.74012255808</v>
      </c>
      <c r="R20" s="289"/>
      <c r="S20" s="64">
        <f>'411'!S36*5.09</f>
        <v>593084.41070839891</v>
      </c>
      <c r="T20" s="289"/>
      <c r="U20" s="64">
        <f>'411'!U36*5.09</f>
        <v>465636.37309839693</v>
      </c>
      <c r="V20" s="289"/>
      <c r="W20" s="64">
        <f>'411'!W36*5.09</f>
        <v>466916.9174217417</v>
      </c>
      <c r="X20" s="289"/>
      <c r="Y20" s="64">
        <f>'411'!Y36*5.09</f>
        <v>771931.54804832104</v>
      </c>
      <c r="Z20" s="289"/>
      <c r="AA20" s="64">
        <f t="shared" ref="AA20:AA24" si="2">C20+E20+G20+I20+K20+M20+O20+Q20+S20+U20+W20+Y20</f>
        <v>7223146.7898665033</v>
      </c>
      <c r="AB20" s="289"/>
    </row>
    <row r="21" spans="1:28">
      <c r="A21" s="48">
        <v>6799</v>
      </c>
      <c r="B21" s="48" t="s">
        <v>126</v>
      </c>
      <c r="C21" s="64">
        <f>'411'!C145*5.09</f>
        <v>499946.17896849639</v>
      </c>
      <c r="D21" s="289"/>
      <c r="E21" s="64">
        <f>'411'!E145*5.09</f>
        <v>514330.38523989421</v>
      </c>
      <c r="F21" s="289"/>
      <c r="G21" s="64">
        <f>'411'!G145*5.09</f>
        <v>510613.29354655597</v>
      </c>
      <c r="H21" s="302"/>
      <c r="I21" s="64">
        <f>'411'!I145*5.09</f>
        <v>526441.21743379335</v>
      </c>
      <c r="J21" s="302"/>
      <c r="K21" s="64">
        <f>'411'!K145*5.09</f>
        <v>528196.70199517626</v>
      </c>
      <c r="L21" s="289"/>
      <c r="M21" s="64">
        <f>'411'!M145*5.09</f>
        <v>524803.69178831845</v>
      </c>
      <c r="N21" s="130"/>
      <c r="O21" s="64">
        <f>'411'!O145*5.09</f>
        <v>528094.82013127999</v>
      </c>
      <c r="P21" s="289"/>
      <c r="Q21" s="64">
        <f>'411'!Q145*5.09</f>
        <v>563152.42597776861</v>
      </c>
      <c r="R21" s="289"/>
      <c r="S21" s="64">
        <f>'411'!S145*5.09</f>
        <v>543234.8214157063</v>
      </c>
      <c r="T21" s="289"/>
      <c r="U21" s="64">
        <f>'411'!U145*5.09</f>
        <v>536237.69496284274</v>
      </c>
      <c r="V21" s="289"/>
      <c r="W21" s="64">
        <f>'411'!W145*5.09</f>
        <v>523086.74972084479</v>
      </c>
      <c r="X21" s="289"/>
      <c r="Y21" s="64">
        <f>'411'!Y145*5.09</f>
        <v>527978.244094091</v>
      </c>
      <c r="Z21" s="289"/>
      <c r="AA21" s="64">
        <f t="shared" si="2"/>
        <v>6326116.2252747677</v>
      </c>
      <c r="AB21" s="289"/>
    </row>
    <row r="22" spans="1:28" ht="15.75" thickBot="1">
      <c r="B22" s="148" t="s">
        <v>189</v>
      </c>
      <c r="C22" s="64">
        <f>'411'!C152*5.09</f>
        <v>7679.9195785035645</v>
      </c>
      <c r="D22" s="289"/>
      <c r="E22" s="64">
        <f>'411'!E152*5.09</f>
        <v>-121114.33914434236</v>
      </c>
      <c r="F22" s="289"/>
      <c r="G22" s="64">
        <f>'411'!G152*5.09</f>
        <v>84825.688326203541</v>
      </c>
      <c r="H22" s="289"/>
      <c r="I22" s="64">
        <f>'411'!I152*5.09</f>
        <v>34573.630185526417</v>
      </c>
      <c r="J22" s="289"/>
      <c r="K22" s="64">
        <f>'411'!K152*5.09</f>
        <v>63890.022331600259</v>
      </c>
      <c r="L22" s="289"/>
      <c r="M22" s="64">
        <f>'411'!M152*5.09</f>
        <v>176835.1140969129</v>
      </c>
      <c r="N22" s="289"/>
      <c r="O22" s="64">
        <f>'411'!O152*5.09</f>
        <v>-65831.050685937022</v>
      </c>
      <c r="P22" s="289"/>
      <c r="Q22" s="64">
        <f>'411'!Q152*5.09</f>
        <v>-56506.056474948608</v>
      </c>
      <c r="R22" s="289"/>
      <c r="S22" s="64">
        <f>'411'!S152*5.09</f>
        <v>89764.209623770555</v>
      </c>
      <c r="T22" s="289"/>
      <c r="U22" s="64">
        <f>'411'!U152*5.09</f>
        <v>-29336.676641999129</v>
      </c>
      <c r="V22" s="289"/>
      <c r="W22" s="64">
        <f>'411'!W152*5.09</f>
        <v>-503.73629618107577</v>
      </c>
      <c r="X22" s="289"/>
      <c r="Y22" s="64">
        <f>'411'!Y152*5.09</f>
        <v>194891.61907743884</v>
      </c>
      <c r="Z22" s="289"/>
      <c r="AA22" s="64">
        <f t="shared" si="2"/>
        <v>379168.34397654788</v>
      </c>
      <c r="AB22" s="289"/>
    </row>
    <row r="23" spans="1:28" ht="15.75" thickTop="1">
      <c r="A23" s="48">
        <v>6798</v>
      </c>
      <c r="B23" s="48" t="s">
        <v>188</v>
      </c>
      <c r="C23" s="64">
        <f>'411'!C144*5.09</f>
        <v>70057.843800000002</v>
      </c>
      <c r="D23" s="289"/>
      <c r="E23" s="64">
        <f>'411'!E144*5.09</f>
        <v>70057.945599999992</v>
      </c>
      <c r="F23" s="289"/>
      <c r="G23" s="64">
        <f>'411'!G144*5.09</f>
        <v>70057.894700000004</v>
      </c>
      <c r="H23" s="302"/>
      <c r="I23" s="64">
        <f>'411'!I144*5.09</f>
        <v>70057.945599999992</v>
      </c>
      <c r="J23" s="302"/>
      <c r="K23" s="64">
        <f>'411'!K144*5.09</f>
        <v>70057.894700000004</v>
      </c>
      <c r="L23" s="289"/>
      <c r="M23" s="64">
        <f>'411'!M144*5.09</f>
        <v>70057.843800000002</v>
      </c>
      <c r="N23" s="289"/>
      <c r="O23" s="64">
        <f>'411'!O144*5.09</f>
        <v>70057.894700000004</v>
      </c>
      <c r="P23" s="289"/>
      <c r="Q23" s="64">
        <f>'411'!Q144*5.09</f>
        <v>65662.323399999994</v>
      </c>
      <c r="R23" s="289"/>
      <c r="S23" s="64">
        <f>'411'!S144*5.09</f>
        <v>65662.323399999994</v>
      </c>
      <c r="T23" s="289"/>
      <c r="U23" s="64">
        <f>'411'!U144*5.09</f>
        <v>65617.887700000007</v>
      </c>
      <c r="V23" s="289"/>
      <c r="W23" s="64">
        <f>'411'!W144*5.09</f>
        <v>65617.887700000007</v>
      </c>
      <c r="X23" s="289"/>
      <c r="Y23" s="64">
        <f>'411'!Y144*5.09</f>
        <v>65617.887700000007</v>
      </c>
      <c r="Z23" s="289"/>
      <c r="AA23" s="64">
        <f t="shared" si="2"/>
        <v>818583.57279999997</v>
      </c>
      <c r="AB23" s="289"/>
    </row>
    <row r="24" spans="1:28" ht="15.75" thickBot="1">
      <c r="A24" s="4">
        <v>6299</v>
      </c>
      <c r="B24" s="4" t="s">
        <v>114</v>
      </c>
      <c r="C24" s="64">
        <f>'411'!C93*5.09</f>
        <v>66714.983472222229</v>
      </c>
      <c r="D24" s="289"/>
      <c r="E24" s="64">
        <f>'411'!E93*5.09</f>
        <v>66714.983472222229</v>
      </c>
      <c r="F24" s="289"/>
      <c r="G24" s="64">
        <f>'411'!G93*5.09</f>
        <v>66714.983472222229</v>
      </c>
      <c r="H24" s="289"/>
      <c r="I24" s="64">
        <f>'411'!I93*5.09</f>
        <v>66714.983472222229</v>
      </c>
      <c r="J24" s="289"/>
      <c r="K24" s="64">
        <f>'411'!K93*5.09</f>
        <v>66714.983472222229</v>
      </c>
      <c r="L24" s="289"/>
      <c r="M24" s="64">
        <f>'411'!M93*5.09</f>
        <v>66714.983472222229</v>
      </c>
      <c r="N24" s="289"/>
      <c r="O24" s="64">
        <f>'411'!O93*5.09</f>
        <v>66714.983472222229</v>
      </c>
      <c r="P24" s="289"/>
      <c r="Q24" s="64">
        <f>'411'!Q93*5.09</f>
        <v>66714.983472222229</v>
      </c>
      <c r="R24" s="289"/>
      <c r="S24" s="64">
        <f>'411'!S93*5.09</f>
        <v>66714.983472222229</v>
      </c>
      <c r="T24" s="289"/>
      <c r="U24" s="64">
        <f>'411'!U93*5.09</f>
        <v>66714.983472222229</v>
      </c>
      <c r="V24" s="289"/>
      <c r="W24" s="64">
        <f>'411'!W93*5.09</f>
        <v>66714.983472222229</v>
      </c>
      <c r="X24" s="289"/>
      <c r="Y24" s="64">
        <f>'411'!Y93*5.09</f>
        <v>66714.983472222229</v>
      </c>
      <c r="Z24" s="289"/>
      <c r="AA24" s="64">
        <f t="shared" si="2"/>
        <v>800579.80166666675</v>
      </c>
      <c r="AB24" s="289"/>
    </row>
    <row r="25" spans="1:28" ht="15.75" thickTop="1"/>
    <row r="27" spans="1:28" s="289" customFormat="1">
      <c r="B27" s="289">
        <v>422</v>
      </c>
      <c r="C27" s="598" t="s">
        <v>64</v>
      </c>
      <c r="D27" s="599"/>
      <c r="E27" s="595" t="s">
        <v>65</v>
      </c>
      <c r="F27" s="595"/>
      <c r="G27" s="598" t="s">
        <v>81</v>
      </c>
      <c r="H27" s="599"/>
      <c r="I27" s="598" t="s">
        <v>82</v>
      </c>
      <c r="J27" s="599"/>
      <c r="K27" s="598" t="s">
        <v>83</v>
      </c>
      <c r="L27" s="599"/>
      <c r="M27" s="598" t="s">
        <v>84</v>
      </c>
      <c r="N27" s="602"/>
      <c r="O27" s="598" t="s">
        <v>85</v>
      </c>
      <c r="P27" s="599"/>
      <c r="Q27" s="598" t="s">
        <v>86</v>
      </c>
      <c r="R27" s="599"/>
      <c r="S27" s="595" t="s">
        <v>87</v>
      </c>
      <c r="T27" s="595"/>
      <c r="U27" s="598" t="s">
        <v>120</v>
      </c>
      <c r="V27" s="599"/>
      <c r="W27" s="598" t="s">
        <v>121</v>
      </c>
      <c r="X27" s="599"/>
      <c r="Y27" s="595" t="s">
        <v>122</v>
      </c>
      <c r="Z27" s="595"/>
      <c r="AA27" s="596" t="s">
        <v>118</v>
      </c>
      <c r="AB27" s="596"/>
    </row>
    <row r="28" spans="1:28" s="289" customFormat="1" ht="15.75" thickBot="1">
      <c r="A28" s="41">
        <v>5199</v>
      </c>
      <c r="B28" s="41" t="s">
        <v>71</v>
      </c>
      <c r="C28" s="64">
        <f>Sheet2!C16*5.09</f>
        <v>0</v>
      </c>
      <c r="E28" s="64">
        <f>Sheet2!E16*5.09</f>
        <v>0</v>
      </c>
      <c r="G28" s="64">
        <f>Sheet2!G16*5.09</f>
        <v>0</v>
      </c>
      <c r="I28" s="64">
        <f>Sheet2!I16*5.09</f>
        <v>0</v>
      </c>
      <c r="K28" s="64">
        <f>Sheet2!K16*5.09</f>
        <v>0</v>
      </c>
      <c r="M28" s="64">
        <f>Sheet2!M16*5.09</f>
        <v>0</v>
      </c>
      <c r="O28" s="64">
        <f>Sheet2!O16*5.09</f>
        <v>0</v>
      </c>
      <c r="Q28" s="64">
        <f>Sheet2!Q16*5.09</f>
        <v>0</v>
      </c>
      <c r="S28" s="64">
        <f>Sheet2!S16*5.09</f>
        <v>0</v>
      </c>
      <c r="U28" s="64">
        <f>Sheet2!U16*5.09</f>
        <v>0</v>
      </c>
      <c r="W28" s="64">
        <f>Sheet2!W16*5.09</f>
        <v>0</v>
      </c>
      <c r="Y28" s="64">
        <f>Sheet2!Y16*5.09</f>
        <v>0</v>
      </c>
      <c r="AA28" s="64">
        <f>C28+E28+G28+I28+K28+M28+O28+Q28+S28+U28+W28+Y28</f>
        <v>0</v>
      </c>
    </row>
    <row r="29" spans="1:28" s="289" customFormat="1" ht="15.75" thickTop="1">
      <c r="A29" s="9">
        <v>5999</v>
      </c>
      <c r="B29" s="360" t="s">
        <v>111</v>
      </c>
      <c r="C29" s="64">
        <f>Sheet2!C36*5.09</f>
        <v>0</v>
      </c>
      <c r="E29" s="64">
        <f>Sheet2!E36*5.09</f>
        <v>0</v>
      </c>
      <c r="G29" s="64">
        <f>Sheet2!G36*5.09</f>
        <v>0</v>
      </c>
      <c r="H29" s="302"/>
      <c r="I29" s="64">
        <f>Sheet2!I36*5.09</f>
        <v>0</v>
      </c>
      <c r="J29" s="302"/>
      <c r="K29" s="64">
        <f>Sheet2!K36*5.09</f>
        <v>0</v>
      </c>
      <c r="M29" s="64">
        <f>Sheet2!M36*5.09</f>
        <v>0</v>
      </c>
      <c r="O29" s="64">
        <f>Sheet2!O36*5.09</f>
        <v>0</v>
      </c>
      <c r="Q29" s="64">
        <f>Sheet2!Q36*5.09</f>
        <v>0</v>
      </c>
      <c r="S29" s="64">
        <f>Sheet2!S36*5.09</f>
        <v>0</v>
      </c>
      <c r="U29" s="64">
        <f>Sheet2!U36*5.09</f>
        <v>0</v>
      </c>
      <c r="W29" s="64">
        <f>Sheet2!W36*5.09</f>
        <v>0</v>
      </c>
      <c r="Y29" s="64">
        <f>Sheet2!Y36*5.09</f>
        <v>0</v>
      </c>
      <c r="AA29" s="64">
        <f t="shared" ref="AA29:AA33" si="3">C29+E29+G29+I29+K29+M29+O29+Q29+S29+U29+W29+Y29</f>
        <v>0</v>
      </c>
    </row>
    <row r="30" spans="1:28" s="289" customFormat="1">
      <c r="A30" s="48">
        <v>6799</v>
      </c>
      <c r="B30" s="48" t="s">
        <v>126</v>
      </c>
      <c r="C30" s="64">
        <f>Sheet2!C144*5.09</f>
        <v>0</v>
      </c>
      <c r="E30" s="64">
        <f>Sheet2!E144*5.09</f>
        <v>0</v>
      </c>
      <c r="G30" s="64">
        <f>Sheet2!G144*5.09</f>
        <v>0</v>
      </c>
      <c r="H30" s="302"/>
      <c r="I30" s="64">
        <f>Sheet2!I144*5.09</f>
        <v>0</v>
      </c>
      <c r="J30" s="302"/>
      <c r="K30" s="64">
        <f>Sheet2!K144*5.09</f>
        <v>0</v>
      </c>
      <c r="M30" s="64">
        <f>Sheet2!M144*5.09</f>
        <v>0</v>
      </c>
      <c r="N30" s="130"/>
      <c r="O30" s="64">
        <f>Sheet2!O144*5.09</f>
        <v>0</v>
      </c>
      <c r="Q30" s="64">
        <f>Sheet2!Q144*5.09</f>
        <v>0</v>
      </c>
      <c r="S30" s="64">
        <f>Sheet2!S144*5.09</f>
        <v>0</v>
      </c>
      <c r="U30" s="64">
        <f>Sheet2!U144*5.09</f>
        <v>0</v>
      </c>
      <c r="W30" s="64">
        <f>Sheet2!W144*5.09</f>
        <v>0</v>
      </c>
      <c r="Y30" s="64">
        <f>Sheet2!Y144*5.09</f>
        <v>0</v>
      </c>
      <c r="AA30" s="64">
        <f t="shared" si="3"/>
        <v>0</v>
      </c>
    </row>
    <row r="31" spans="1:28" s="289" customFormat="1" ht="15.75" thickBot="1">
      <c r="B31" s="148" t="s">
        <v>189</v>
      </c>
      <c r="C31" s="64">
        <f>Sheet2!C151*5.09</f>
        <v>0</v>
      </c>
      <c r="E31" s="64">
        <f>Sheet2!E151*5.09</f>
        <v>0</v>
      </c>
      <c r="G31" s="64">
        <f>Sheet2!G151*5.09</f>
        <v>0</v>
      </c>
      <c r="I31" s="64">
        <f>Sheet2!I151*5.09</f>
        <v>0</v>
      </c>
      <c r="K31" s="64">
        <f>Sheet2!K151*5.09</f>
        <v>0</v>
      </c>
      <c r="M31" s="64">
        <f>Sheet2!M151*5.09</f>
        <v>0</v>
      </c>
      <c r="O31" s="64">
        <f>Sheet2!O151*5.09</f>
        <v>0</v>
      </c>
      <c r="Q31" s="64">
        <f>Sheet2!Q151*5.09</f>
        <v>0</v>
      </c>
      <c r="S31" s="64">
        <f>Sheet2!S151*5.09</f>
        <v>0</v>
      </c>
      <c r="U31" s="64">
        <f>Sheet2!U151*5.09</f>
        <v>0</v>
      </c>
      <c r="W31" s="64">
        <f>Sheet2!W151*5.09</f>
        <v>0</v>
      </c>
      <c r="Y31" s="64">
        <f>Sheet2!Y151*5.09</f>
        <v>0</v>
      </c>
      <c r="AA31" s="64">
        <f t="shared" si="3"/>
        <v>0</v>
      </c>
    </row>
    <row r="32" spans="1:28" s="289" customFormat="1" ht="15.75" thickTop="1">
      <c r="A32" s="48">
        <v>6798</v>
      </c>
      <c r="B32" s="48" t="s">
        <v>188</v>
      </c>
      <c r="C32" s="64">
        <f>Sheet2!C143*5.09</f>
        <v>0</v>
      </c>
      <c r="E32" s="64">
        <f>Sheet2!E143*5.09</f>
        <v>0</v>
      </c>
      <c r="G32" s="64">
        <f>Sheet2!G143*5.09</f>
        <v>0</v>
      </c>
      <c r="H32" s="302"/>
      <c r="I32" s="64">
        <f>Sheet2!I143*5.09</f>
        <v>0</v>
      </c>
      <c r="J32" s="302"/>
      <c r="K32" s="64">
        <f>Sheet2!K143*5.09</f>
        <v>0</v>
      </c>
      <c r="M32" s="64">
        <f>Sheet2!M143*5.09</f>
        <v>0</v>
      </c>
      <c r="O32" s="64">
        <f>Sheet2!O143*5.09</f>
        <v>0</v>
      </c>
      <c r="Q32" s="64">
        <f>Sheet2!Q143*5.09</f>
        <v>0</v>
      </c>
      <c r="S32" s="64">
        <f>Sheet2!S143*5.09</f>
        <v>0</v>
      </c>
      <c r="U32" s="64">
        <f>Sheet2!U143*5.09</f>
        <v>0</v>
      </c>
      <c r="W32" s="64">
        <f>Sheet2!W143*5.09</f>
        <v>0</v>
      </c>
      <c r="Y32" s="64">
        <f>Sheet2!Y143*5.09</f>
        <v>0</v>
      </c>
      <c r="AA32" s="64">
        <f t="shared" si="3"/>
        <v>0</v>
      </c>
    </row>
    <row r="33" spans="1:28" s="289" customFormat="1" ht="15.75" thickBot="1">
      <c r="A33" s="4">
        <v>6299</v>
      </c>
      <c r="B33" s="4" t="s">
        <v>114</v>
      </c>
      <c r="C33" s="64">
        <f>Sheet2!C93*5.09</f>
        <v>0</v>
      </c>
      <c r="E33" s="64">
        <f>Sheet2!E93*5.09</f>
        <v>0</v>
      </c>
      <c r="G33" s="64">
        <f>Sheet2!G93*5.09</f>
        <v>0</v>
      </c>
      <c r="I33" s="64">
        <f>Sheet2!I93*5.09</f>
        <v>0</v>
      </c>
      <c r="K33" s="64">
        <f>Sheet2!K93*5.09</f>
        <v>0</v>
      </c>
      <c r="M33" s="64">
        <f>Sheet2!M93*5.09</f>
        <v>0</v>
      </c>
      <c r="O33" s="64">
        <f>Sheet2!O93*5.09</f>
        <v>0</v>
      </c>
      <c r="Q33" s="64">
        <f>Sheet2!Q93*5.09</f>
        <v>0</v>
      </c>
      <c r="S33" s="64">
        <f>Sheet2!S93*5.09</f>
        <v>0</v>
      </c>
      <c r="U33" s="64">
        <f>Sheet2!U93*5.09</f>
        <v>0</v>
      </c>
      <c r="W33" s="64">
        <f>Sheet2!W93*5.09</f>
        <v>0</v>
      </c>
      <c r="Y33" s="64">
        <f>Sheet2!Y93*5.09</f>
        <v>0</v>
      </c>
      <c r="AA33" s="64">
        <f t="shared" si="3"/>
        <v>0</v>
      </c>
    </row>
    <row r="34" spans="1:28" ht="15.75" thickTop="1"/>
    <row r="36" spans="1:28" s="289" customFormat="1">
      <c r="B36" s="289">
        <v>423</v>
      </c>
      <c r="C36" s="598" t="s">
        <v>64</v>
      </c>
      <c r="D36" s="599"/>
      <c r="E36" s="595" t="s">
        <v>65</v>
      </c>
      <c r="F36" s="595"/>
      <c r="G36" s="598" t="s">
        <v>81</v>
      </c>
      <c r="H36" s="599"/>
      <c r="I36" s="598" t="s">
        <v>82</v>
      </c>
      <c r="J36" s="599"/>
      <c r="K36" s="598" t="s">
        <v>83</v>
      </c>
      <c r="L36" s="599"/>
      <c r="M36" s="598" t="s">
        <v>84</v>
      </c>
      <c r="N36" s="602"/>
      <c r="O36" s="598" t="s">
        <v>85</v>
      </c>
      <c r="P36" s="599"/>
      <c r="Q36" s="598" t="s">
        <v>86</v>
      </c>
      <c r="R36" s="599"/>
      <c r="S36" s="595" t="s">
        <v>87</v>
      </c>
      <c r="T36" s="595"/>
      <c r="U36" s="598" t="s">
        <v>120</v>
      </c>
      <c r="V36" s="599"/>
      <c r="W36" s="598" t="s">
        <v>121</v>
      </c>
      <c r="X36" s="599"/>
      <c r="Y36" s="595" t="s">
        <v>122</v>
      </c>
      <c r="Z36" s="595"/>
      <c r="AA36" s="596" t="s">
        <v>118</v>
      </c>
      <c r="AB36" s="596"/>
    </row>
    <row r="37" spans="1:28" s="289" customFormat="1" ht="15.75" thickBot="1">
      <c r="A37" s="41">
        <v>5199</v>
      </c>
      <c r="B37" s="41" t="s">
        <v>71</v>
      </c>
      <c r="C37" s="64">
        <f>Sheet3!C16*5.09</f>
        <v>0</v>
      </c>
      <c r="E37" s="64">
        <f>Sheet3!E16*5.09</f>
        <v>0</v>
      </c>
      <c r="G37" s="64">
        <f>Sheet3!G16*5.09</f>
        <v>0</v>
      </c>
      <c r="I37" s="64">
        <f>Sheet3!I16*5.09</f>
        <v>0</v>
      </c>
      <c r="K37" s="64">
        <f>Sheet3!K16*5.09</f>
        <v>0</v>
      </c>
      <c r="M37" s="64">
        <f>Sheet3!M16*5.09</f>
        <v>0</v>
      </c>
      <c r="O37" s="64">
        <f>Sheet3!O16*5.09</f>
        <v>0</v>
      </c>
      <c r="Q37" s="64">
        <f>Sheet3!Q16*5.09</f>
        <v>0</v>
      </c>
      <c r="S37" s="64">
        <f>Sheet3!S16*5.09</f>
        <v>0</v>
      </c>
      <c r="U37" s="64">
        <f>Sheet3!U16*5.09</f>
        <v>0</v>
      </c>
      <c r="W37" s="64">
        <f>Sheet3!W16*5.09</f>
        <v>0</v>
      </c>
      <c r="Y37" s="64">
        <f>Sheet3!Y16*5.09</f>
        <v>0</v>
      </c>
      <c r="AA37" s="64">
        <f>C37+E37+G37+I37+K37+M37+O37+Q37+S37+U37+W37+Y37</f>
        <v>0</v>
      </c>
    </row>
    <row r="38" spans="1:28" s="289" customFormat="1" ht="15.75" thickTop="1">
      <c r="A38" s="9">
        <v>5999</v>
      </c>
      <c r="B38" s="360" t="s">
        <v>111</v>
      </c>
      <c r="C38" s="64">
        <f>Sheet3!C36*5.09</f>
        <v>0</v>
      </c>
      <c r="E38" s="64">
        <f>Sheet3!E36*5.09</f>
        <v>0</v>
      </c>
      <c r="G38" s="64">
        <f>Sheet3!G36*5.09</f>
        <v>0</v>
      </c>
      <c r="H38" s="302"/>
      <c r="I38" s="64">
        <f>Sheet3!I36*5.09</f>
        <v>0</v>
      </c>
      <c r="J38" s="302"/>
      <c r="K38" s="64">
        <f>Sheet3!K36*5.09</f>
        <v>0</v>
      </c>
      <c r="M38" s="64">
        <f>Sheet3!M36*5.09</f>
        <v>0</v>
      </c>
      <c r="O38" s="64">
        <f>Sheet3!O36*5.09</f>
        <v>0</v>
      </c>
      <c r="Q38" s="64">
        <f>Sheet3!Q36*5.09</f>
        <v>0</v>
      </c>
      <c r="S38" s="64">
        <f>Sheet3!S36*5.09</f>
        <v>0</v>
      </c>
      <c r="U38" s="64">
        <f>Sheet3!U36*5.09</f>
        <v>0</v>
      </c>
      <c r="W38" s="64">
        <f>Sheet3!W36*5.09</f>
        <v>0</v>
      </c>
      <c r="Y38" s="64">
        <f>Sheet3!Y36*5.09</f>
        <v>0</v>
      </c>
      <c r="AA38" s="64">
        <f t="shared" ref="AA38:AA42" si="4">C38+E38+G38+I38+K38+M38+O38+Q38+S38+U38+W38+Y38</f>
        <v>0</v>
      </c>
    </row>
    <row r="39" spans="1:28" s="289" customFormat="1">
      <c r="A39" s="48">
        <v>6799</v>
      </c>
      <c r="B39" s="48" t="s">
        <v>126</v>
      </c>
      <c r="C39" s="64">
        <f>Sheet3!C144*5.09</f>
        <v>0</v>
      </c>
      <c r="E39" s="64">
        <f>Sheet3!E144*5.09</f>
        <v>0</v>
      </c>
      <c r="G39" s="64">
        <f>Sheet3!G144*5.09</f>
        <v>0</v>
      </c>
      <c r="H39" s="302"/>
      <c r="I39" s="64">
        <f>Sheet3!I144*5.09</f>
        <v>0</v>
      </c>
      <c r="J39" s="302"/>
      <c r="K39" s="64">
        <f>Sheet3!K144*5.09</f>
        <v>0</v>
      </c>
      <c r="M39" s="64">
        <f>Sheet3!M144*5.09</f>
        <v>0</v>
      </c>
      <c r="N39" s="130"/>
      <c r="O39" s="64">
        <f>Sheet3!O144*5.09</f>
        <v>0</v>
      </c>
      <c r="Q39" s="64">
        <f>Sheet3!Q144*5.09</f>
        <v>0</v>
      </c>
      <c r="S39" s="64">
        <f>Sheet3!S144*5.09</f>
        <v>0</v>
      </c>
      <c r="U39" s="64">
        <f>Sheet3!U144*5.09</f>
        <v>0</v>
      </c>
      <c r="W39" s="64">
        <f>Sheet3!W144*5.09</f>
        <v>0</v>
      </c>
      <c r="Y39" s="64">
        <f>Sheet3!Y144*5.09</f>
        <v>0</v>
      </c>
      <c r="AA39" s="64">
        <f t="shared" si="4"/>
        <v>0</v>
      </c>
    </row>
    <row r="40" spans="1:28" s="289" customFormat="1" ht="15.75" thickBot="1">
      <c r="B40" s="148" t="s">
        <v>189</v>
      </c>
      <c r="C40" s="64">
        <f>Sheet3!C151*5.09</f>
        <v>0</v>
      </c>
      <c r="E40" s="64">
        <f>Sheet3!E151*5.09</f>
        <v>0</v>
      </c>
      <c r="G40" s="64">
        <f>Sheet3!G151*5.09</f>
        <v>0</v>
      </c>
      <c r="I40" s="64">
        <f>Sheet3!I151*5.09</f>
        <v>0</v>
      </c>
      <c r="K40" s="64">
        <f>Sheet3!K151*5.09</f>
        <v>0</v>
      </c>
      <c r="M40" s="64">
        <f>Sheet3!M151*5.09</f>
        <v>0</v>
      </c>
      <c r="O40" s="64">
        <f>Sheet3!O151*5.09</f>
        <v>0</v>
      </c>
      <c r="Q40" s="64">
        <f>Sheet3!Q151*5.09</f>
        <v>0</v>
      </c>
      <c r="S40" s="64">
        <f>Sheet3!S151*5.09</f>
        <v>0</v>
      </c>
      <c r="U40" s="64">
        <f>Sheet3!U151*5.09</f>
        <v>0</v>
      </c>
      <c r="W40" s="64">
        <f>Sheet3!W151*5.09</f>
        <v>0</v>
      </c>
      <c r="Y40" s="64">
        <f>Sheet3!Y151*5.09</f>
        <v>0</v>
      </c>
      <c r="AA40" s="64">
        <f t="shared" si="4"/>
        <v>0</v>
      </c>
    </row>
    <row r="41" spans="1:28" s="289" customFormat="1" ht="15.75" thickTop="1">
      <c r="A41" s="48">
        <v>6798</v>
      </c>
      <c r="B41" s="48" t="s">
        <v>188</v>
      </c>
      <c r="C41" s="64">
        <f>Sheet3!C143*5.09</f>
        <v>0</v>
      </c>
      <c r="E41" s="64">
        <f>Sheet3!E143*5.09</f>
        <v>0</v>
      </c>
      <c r="G41" s="64">
        <f>Sheet3!G143*5.09</f>
        <v>0</v>
      </c>
      <c r="H41" s="302"/>
      <c r="I41" s="64">
        <f>Sheet3!I143*5.09</f>
        <v>0</v>
      </c>
      <c r="J41" s="302"/>
      <c r="K41" s="64">
        <f>Sheet3!K143*5.09</f>
        <v>0</v>
      </c>
      <c r="M41" s="64">
        <f>Sheet3!M143*5.09</f>
        <v>0</v>
      </c>
      <c r="O41" s="64">
        <f>Sheet3!O143*5.09</f>
        <v>0</v>
      </c>
      <c r="Q41" s="64">
        <f>Sheet3!Q143*5.09</f>
        <v>0</v>
      </c>
      <c r="S41" s="64">
        <f>Sheet3!S143*5.09</f>
        <v>0</v>
      </c>
      <c r="U41" s="64">
        <f>Sheet3!U143*5.09</f>
        <v>0</v>
      </c>
      <c r="W41" s="64">
        <f>Sheet3!W143*5.09</f>
        <v>0</v>
      </c>
      <c r="Y41" s="64">
        <f>Sheet3!Y143*5.09</f>
        <v>0</v>
      </c>
      <c r="AA41" s="64">
        <f t="shared" si="4"/>
        <v>0</v>
      </c>
    </row>
    <row r="42" spans="1:28" s="289" customFormat="1" ht="15.75" thickBot="1">
      <c r="A42" s="4">
        <v>6299</v>
      </c>
      <c r="B42" s="4" t="s">
        <v>114</v>
      </c>
      <c r="C42" s="64">
        <f>Sheet3!C93*5.09</f>
        <v>0</v>
      </c>
      <c r="E42" s="64">
        <f>Sheet3!E93*5.09</f>
        <v>0</v>
      </c>
      <c r="G42" s="64">
        <f>Sheet3!G93*5.09</f>
        <v>0</v>
      </c>
      <c r="I42" s="64">
        <f>Sheet3!I93*5.09</f>
        <v>0</v>
      </c>
      <c r="K42" s="64">
        <f>Sheet3!K93*5.09</f>
        <v>0</v>
      </c>
      <c r="M42" s="64">
        <f>Sheet3!M93*5.09</f>
        <v>0</v>
      </c>
      <c r="O42" s="64">
        <f>Sheet3!O93*5.09</f>
        <v>0</v>
      </c>
      <c r="Q42" s="64">
        <f>Sheet3!Q93*5.09</f>
        <v>0</v>
      </c>
      <c r="S42" s="64">
        <f>Sheet3!S93*5.09</f>
        <v>0</v>
      </c>
      <c r="U42" s="64">
        <f>Sheet3!U93*5.09</f>
        <v>0</v>
      </c>
      <c r="W42" s="64">
        <f>Sheet3!W93*5.09</f>
        <v>0</v>
      </c>
      <c r="Y42" s="64">
        <f>Sheet3!Y93*5.09</f>
        <v>0</v>
      </c>
      <c r="AA42" s="64">
        <f t="shared" si="4"/>
        <v>0</v>
      </c>
    </row>
    <row r="43" spans="1:28" ht="15.75" thickTop="1"/>
    <row r="45" spans="1:28">
      <c r="B45" s="289">
        <v>400</v>
      </c>
    </row>
    <row r="46" spans="1:28" ht="15.75" thickBot="1">
      <c r="A46" s="41">
        <v>5199</v>
      </c>
      <c r="B46" s="41" t="s">
        <v>71</v>
      </c>
      <c r="C46" s="64">
        <f>C2+C10+C19+C28+C37</f>
        <v>1948808.3</v>
      </c>
      <c r="E46" s="64">
        <f>E2+E10+E19+E28+E37</f>
        <v>1516173.7739810292</v>
      </c>
      <c r="G46" s="64">
        <f>G2+G10+G19+G28+G37</f>
        <v>2514998.1766674891</v>
      </c>
      <c r="I46" s="64">
        <f>I2+I10+I19+I28+I37</f>
        <v>2220728.9695860026</v>
      </c>
      <c r="K46" s="64">
        <f>K2+K10+K19+K28+K37</f>
        <v>2031082.8702818651</v>
      </c>
      <c r="M46" s="64">
        <f>M2+M10+M19+M28+M37</f>
        <v>2880047.3892805884</v>
      </c>
      <c r="O46" s="64">
        <f>O2+O10+O19+O28+O37</f>
        <v>1823388.30340446</v>
      </c>
      <c r="Q46" s="64">
        <f>Q2+Q10+Q19+Q28+Q37</f>
        <v>2264172.4395742915</v>
      </c>
      <c r="S46" s="64">
        <f>S2+S10+S19+S28+S37</f>
        <v>2280880.3924252493</v>
      </c>
      <c r="U46" s="64">
        <f>U2+U10+U19+U28+U37</f>
        <v>1809209.2197463107</v>
      </c>
      <c r="W46" s="64">
        <f>W2+W10+W19+W28+W37</f>
        <v>1840764.5953984014</v>
      </c>
      <c r="Y46" s="64">
        <f>Y2+Y10+Y19+Y28+Y37</f>
        <v>2780775.8536894522</v>
      </c>
      <c r="AA46" s="64">
        <f>AA2+AA10+AA19+AA28+AA37</f>
        <v>25911030.284035143</v>
      </c>
    </row>
    <row r="47" spans="1:28" ht="15.75" thickTop="1">
      <c r="A47" s="9">
        <v>5999</v>
      </c>
      <c r="B47" s="360" t="s">
        <v>111</v>
      </c>
      <c r="C47" s="64">
        <f t="shared" ref="C47:E51" si="5">C3+C11+C20+C29+C38</f>
        <v>1018807.4857439999</v>
      </c>
      <c r="E47" s="64">
        <f t="shared" si="5"/>
        <v>787193.79199964378</v>
      </c>
      <c r="G47" s="64">
        <f t="shared" ref="G47" si="6">G3+G11+G20+G29+G38</f>
        <v>1410335.8973113857</v>
      </c>
      <c r="I47" s="64">
        <f t="shared" ref="I47" si="7">I3+I11+I20+I29+I38</f>
        <v>1201629.4463006959</v>
      </c>
      <c r="K47" s="64">
        <f t="shared" ref="K47" si="8">K3+K11+K20+K29+K38</f>
        <v>953023.68562363647</v>
      </c>
      <c r="M47" s="64">
        <f t="shared" ref="M47" si="9">M3+M11+M20+M29+M38</f>
        <v>1649767.6356496504</v>
      </c>
      <c r="O47" s="64">
        <f t="shared" ref="O47" si="10">O3+O11+O20+O29+O38</f>
        <v>1001239.7314469847</v>
      </c>
      <c r="Q47" s="64">
        <f t="shared" ref="Q47" si="11">Q3+Q11+Q20+Q29+Q38</f>
        <v>1281995.966255832</v>
      </c>
      <c r="S47" s="64">
        <f t="shared" ref="S47" si="12">S3+S11+S20+S29+S38</f>
        <v>1212138.4654424894</v>
      </c>
      <c r="U47" s="64">
        <f t="shared" ref="U47" si="13">U3+U11+U20+U29+U38</f>
        <v>897292.92533561261</v>
      </c>
      <c r="W47" s="64">
        <f t="shared" ref="W47" si="14">W3+W11+W20+W29+W38</f>
        <v>854440.49087792542</v>
      </c>
      <c r="Y47" s="64">
        <f t="shared" ref="Y47" si="15">Y3+Y11+Y20+Y29+Y38</f>
        <v>1447520.8225194446</v>
      </c>
      <c r="AA47" s="64">
        <f t="shared" ref="AA47" si="16">AA3+AA11+AA20+AA29+AA38</f>
        <v>13715386.344507299</v>
      </c>
    </row>
    <row r="48" spans="1:28">
      <c r="A48" s="48">
        <v>6799</v>
      </c>
      <c r="B48" s="48" t="s">
        <v>126</v>
      </c>
      <c r="C48" s="64">
        <f t="shared" si="5"/>
        <v>922308.68049810408</v>
      </c>
      <c r="E48" s="64">
        <f t="shared" si="5"/>
        <v>942364.18017506623</v>
      </c>
      <c r="G48" s="64">
        <f t="shared" ref="G48" si="17">G4+G12+G21+G30+G39</f>
        <v>948658.54712297581</v>
      </c>
      <c r="I48" s="64">
        <f t="shared" ref="I48" si="18">I4+I12+I21+I30+I39</f>
        <v>979707.03824881534</v>
      </c>
      <c r="K48" s="64">
        <f t="shared" ref="K48" si="19">K4+K12+K21+K30+K39</f>
        <v>970352.51264131849</v>
      </c>
      <c r="M48" s="64">
        <f t="shared" ref="M48" si="20">M4+M12+M21+M30+M39</f>
        <v>992743.36744276318</v>
      </c>
      <c r="O48" s="64">
        <f t="shared" ref="O48" si="21">O4+O12+O21+O30+O39</f>
        <v>1027010.7449308552</v>
      </c>
      <c r="Q48" s="64">
        <f t="shared" ref="Q48" si="22">Q4+Q12+Q21+Q30+Q39</f>
        <v>1093649.0610387449</v>
      </c>
      <c r="S48" s="64">
        <f t="shared" ref="S48" si="23">S4+S12+S21+S30+S39</f>
        <v>1067418.654256244</v>
      </c>
      <c r="U48" s="64">
        <f t="shared" ref="U48" si="24">U4+U12+U21+U30+U39</f>
        <v>1038174.7117867798</v>
      </c>
      <c r="W48" s="64">
        <f t="shared" ref="W48" si="25">W4+W12+W21+W30+W39</f>
        <v>1025426.9020766629</v>
      </c>
      <c r="Y48" s="64">
        <f t="shared" ref="Y48" si="26">Y4+Y12+Y21+Y30+Y39</f>
        <v>1036980.1526506873</v>
      </c>
      <c r="AA48" s="64">
        <f t="shared" ref="AA48" si="27">AA4+AA12+AA21+AA30+AA39</f>
        <v>12044794.552869016</v>
      </c>
    </row>
    <row r="49" spans="1:27" ht="15.75" thickBot="1">
      <c r="B49" s="148" t="s">
        <v>189</v>
      </c>
      <c r="C49" s="64">
        <f t="shared" si="5"/>
        <v>7692.6936578958866</v>
      </c>
      <c r="E49" s="64">
        <f t="shared" si="5"/>
        <v>-213384.19819368079</v>
      </c>
      <c r="G49" s="64">
        <f t="shared" ref="G49" si="28">G5+G13+G22+G31+G40</f>
        <v>156003.68133312784</v>
      </c>
      <c r="I49" s="64">
        <f t="shared" ref="I49" si="29">I5+I13+I22+I31+I40</f>
        <v>39392.485036491635</v>
      </c>
      <c r="K49" s="64">
        <f t="shared" ref="K49" si="30">K5+K13+K22+K31+K40</f>
        <v>107706.26481691017</v>
      </c>
      <c r="M49" s="64">
        <f t="shared" ref="M49" si="31">M5+M13+M22+M31+M40</f>
        <v>237536.38618817521</v>
      </c>
      <c r="O49" s="64">
        <f t="shared" ref="O49" si="32">O5+O13+O22+O31+O40</f>
        <v>-204862.1729733801</v>
      </c>
      <c r="Q49" s="64">
        <f t="shared" ref="Q49" si="33">Q5+Q13+Q22+Q31+Q40</f>
        <v>-111466.98872028553</v>
      </c>
      <c r="S49" s="64">
        <f t="shared" ref="S49" si="34">S5+S13+S22+S31+S40</f>
        <v>1323.2727265163267</v>
      </c>
      <c r="U49" s="64">
        <f t="shared" ref="U49" si="35">U5+U13+U22+U31+U40</f>
        <v>-126258.41737608171</v>
      </c>
      <c r="W49" s="64">
        <f t="shared" ref="W49" si="36">W5+W13+W22+W31+W40</f>
        <v>-39102.797556187012</v>
      </c>
      <c r="Y49" s="64">
        <f t="shared" ref="Y49" si="37">Y5+Y13+Y22+Y31+Y40</f>
        <v>296274.87851932016</v>
      </c>
      <c r="AA49" s="64">
        <f t="shared" ref="AA49" si="38">AA5+AA13+AA22+AA31+AA40</f>
        <v>150855.08745882209</v>
      </c>
    </row>
    <row r="50" spans="1:27" ht="15.75" thickTop="1">
      <c r="A50" s="48">
        <v>6798</v>
      </c>
      <c r="B50" s="48" t="s">
        <v>188</v>
      </c>
      <c r="C50" s="64">
        <f t="shared" si="5"/>
        <v>136098.65960000001</v>
      </c>
      <c r="E50" s="64">
        <f t="shared" si="5"/>
        <v>135910.3296</v>
      </c>
      <c r="G50" s="64">
        <f t="shared" ref="G50" si="39">G6+G14+G23+G32+G41</f>
        <v>136287.0405</v>
      </c>
      <c r="I50" s="64">
        <f t="shared" ref="I50" si="40">I6+I14+I23+I32+I41</f>
        <v>136098.76139999999</v>
      </c>
      <c r="K50" s="64">
        <f t="shared" ref="K50" si="41">K6+K14+K23+K32+K41</f>
        <v>136098.71049999999</v>
      </c>
      <c r="M50" s="64">
        <f t="shared" ref="M50" si="42">M6+M14+M23+M32+M41</f>
        <v>136098.55780000001</v>
      </c>
      <c r="O50" s="64">
        <f t="shared" ref="O50" si="43">O6+O14+O23+O32+O41</f>
        <v>136098.71049999999</v>
      </c>
      <c r="Q50" s="64">
        <f t="shared" ref="Q50" si="44">Q6+Q14+Q23+Q32+Q41</f>
        <v>131703.13919999998</v>
      </c>
      <c r="S50" s="64">
        <f t="shared" ref="S50" si="45">S6+S14+S23+S32+S41</f>
        <v>131703.13919999998</v>
      </c>
      <c r="U50" s="64">
        <f t="shared" ref="U50" si="46">U6+U14+U23+U32+U41</f>
        <v>131658.7035</v>
      </c>
      <c r="W50" s="64">
        <f t="shared" ref="W50" si="47">W6+W14+W23+W32+W41</f>
        <v>131658.7035</v>
      </c>
      <c r="Y50" s="64">
        <f t="shared" ref="Y50" si="48">Y6+Y14+Y23+Y32+Y41</f>
        <v>131658.7035</v>
      </c>
      <c r="AA50" s="64">
        <f t="shared" ref="AA50" si="49">AA6+AA14+AA23+AA32+AA41</f>
        <v>1611073.1587999999</v>
      </c>
    </row>
    <row r="51" spans="1:27" ht="15.75" thickBot="1">
      <c r="A51" s="4">
        <v>6299</v>
      </c>
      <c r="B51" s="4" t="s">
        <v>114</v>
      </c>
      <c r="C51" s="64">
        <f t="shared" si="5"/>
        <v>150966.02080555557</v>
      </c>
      <c r="E51" s="64">
        <f t="shared" si="5"/>
        <v>150966.02080555557</v>
      </c>
      <c r="G51" s="64">
        <f t="shared" ref="G51" si="50">G7+G15+G24+G33+G42</f>
        <v>150966.02080555557</v>
      </c>
      <c r="I51" s="64">
        <f t="shared" ref="I51" si="51">I7+I15+I24+I33+I42</f>
        <v>150966.02080555557</v>
      </c>
      <c r="K51" s="64">
        <f t="shared" ref="K51" si="52">K7+K15+K24+K33+K42</f>
        <v>150966.02080555557</v>
      </c>
      <c r="M51" s="64">
        <f t="shared" ref="M51" si="53">M7+M15+M24+M33+M42</f>
        <v>150966.02080555557</v>
      </c>
      <c r="O51" s="64">
        <f t="shared" ref="O51" si="54">O7+O15+O24+O33+O42</f>
        <v>150966.02080555557</v>
      </c>
      <c r="Q51" s="64">
        <f t="shared" ref="Q51" si="55">Q7+Q15+Q24+Q33+Q42</f>
        <v>150966.02080555557</v>
      </c>
      <c r="S51" s="64">
        <f t="shared" ref="S51" si="56">S7+S15+S24+S33+S42</f>
        <v>150966.02080555557</v>
      </c>
      <c r="U51" s="64">
        <f t="shared" ref="U51" si="57">U7+U15+U24+U33+U42</f>
        <v>150966.02080555557</v>
      </c>
      <c r="W51" s="64">
        <f t="shared" ref="W51" si="58">W7+W15+W24+W33+W42</f>
        <v>150966.02080555557</v>
      </c>
      <c r="Y51" s="64">
        <f t="shared" ref="Y51" si="59">Y7+Y15+Y24+Y33+Y42</f>
        <v>150966.02080555557</v>
      </c>
      <c r="AA51" s="64">
        <f t="shared" ref="AA51" si="60">AA7+AA15+AA24+AA33+AA42</f>
        <v>1811592.2496666666</v>
      </c>
    </row>
    <row r="52" spans="1:27" ht="15.75" thickTop="1"/>
  </sheetData>
  <mergeCells count="65">
    <mergeCell ref="M27:N27"/>
    <mergeCell ref="O27:P27"/>
    <mergeCell ref="Q27:R27"/>
    <mergeCell ref="S27:T27"/>
    <mergeCell ref="AA27:AB27"/>
    <mergeCell ref="U27:V27"/>
    <mergeCell ref="W27:X27"/>
    <mergeCell ref="Y27:Z27"/>
    <mergeCell ref="C36:D36"/>
    <mergeCell ref="E36:F36"/>
    <mergeCell ref="G36:H36"/>
    <mergeCell ref="I36:J36"/>
    <mergeCell ref="K36:L36"/>
    <mergeCell ref="M36:N36"/>
    <mergeCell ref="AA36:AB36"/>
    <mergeCell ref="O36:P36"/>
    <mergeCell ref="Q36:R36"/>
    <mergeCell ref="S36:T36"/>
    <mergeCell ref="U36:V36"/>
    <mergeCell ref="W36:X36"/>
    <mergeCell ref="Y36:Z36"/>
    <mergeCell ref="C27:D27"/>
    <mergeCell ref="E27:F27"/>
    <mergeCell ref="G27:H27"/>
    <mergeCell ref="I27:J27"/>
    <mergeCell ref="K27:L27"/>
    <mergeCell ref="U9:V9"/>
    <mergeCell ref="W9:X9"/>
    <mergeCell ref="Y9:Z9"/>
    <mergeCell ref="AA9:AB9"/>
    <mergeCell ref="C18:D18"/>
    <mergeCell ref="E18:F18"/>
    <mergeCell ref="G18:H18"/>
    <mergeCell ref="I18:J18"/>
    <mergeCell ref="K18:L18"/>
    <mergeCell ref="M18:N18"/>
    <mergeCell ref="AA18:AB18"/>
    <mergeCell ref="U18:V18"/>
    <mergeCell ref="W18:X18"/>
    <mergeCell ref="Y18:Z18"/>
    <mergeCell ref="O18:P18"/>
    <mergeCell ref="Q18:R18"/>
    <mergeCell ref="S18:T18"/>
    <mergeCell ref="AA1:AB1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O1:P1"/>
    <mergeCell ref="Q1:R1"/>
    <mergeCell ref="S1:T1"/>
    <mergeCell ref="U1:V1"/>
    <mergeCell ref="W1:X1"/>
    <mergeCell ref="Y1:Z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Consoli</vt:lpstr>
      <vt:lpstr>400</vt:lpstr>
      <vt:lpstr>404</vt:lpstr>
      <vt:lpstr>411</vt:lpstr>
      <vt:lpstr>425</vt:lpstr>
      <vt:lpstr>426</vt:lpstr>
      <vt:lpstr>Sheet2</vt:lpstr>
      <vt:lpstr>Sheet3</vt:lpstr>
      <vt:lpstr>Sheet1</vt:lpstr>
      <vt:lpstr>'400'!Print_Area</vt:lpstr>
      <vt:lpstr>'404'!Print_Area</vt:lpstr>
      <vt:lpstr>'411'!Print_Area</vt:lpstr>
      <vt:lpstr>'425'!Print_Area</vt:lpstr>
      <vt:lpstr>'426'!Print_Area</vt:lpstr>
      <vt:lpstr>Consoli!Print_Area</vt:lpstr>
      <vt:lpstr>Sheet2!Print_Area</vt:lpstr>
      <vt:lpstr>Sheet3!Print_Area</vt:lpstr>
      <vt:lpstr>'400'!Print_Titles</vt:lpstr>
      <vt:lpstr>'404'!Print_Titles</vt:lpstr>
      <vt:lpstr>'411'!Print_Titles</vt:lpstr>
      <vt:lpstr>'425'!Print_Titles</vt:lpstr>
      <vt:lpstr>'426'!Print_Titles</vt:lpstr>
      <vt:lpstr>Consoli!Print_Titles</vt:lpstr>
      <vt:lpstr>Sheet2!Print_Titles</vt:lpstr>
      <vt:lpstr>Sheet3!Print_Titles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Rajesh PC</cp:lastModifiedBy>
  <cp:lastPrinted>2016-01-25T09:40:07Z</cp:lastPrinted>
  <dcterms:created xsi:type="dcterms:W3CDTF">2010-03-10T02:36:12Z</dcterms:created>
  <dcterms:modified xsi:type="dcterms:W3CDTF">2016-12-29T13:26:27Z</dcterms:modified>
</cp:coreProperties>
</file>