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500" firstSheet="2" activeTab="4"/>
  </bookViews>
  <sheets>
    <sheet name="Sheet4" sheetId="16" state="hidden" r:id="rId1"/>
    <sheet name="OMAN-Suggested" sheetId="19" state="hidden" r:id="rId2"/>
    <sheet name="Consolidated" sheetId="10" r:id="rId3"/>
    <sheet name="Markaz" sheetId="23" r:id="rId4"/>
    <sheet name="Avenue" sheetId="24" r:id="rId5"/>
    <sheet name="Rent Calculation" sheetId="22" state="hidden" r:id="rId6"/>
    <sheet name="Sales Figures Markaz" sheetId="25" state="hidden" r:id="rId7"/>
    <sheet name="Sheet1" sheetId="26" r:id="rId8"/>
    <sheet name="Sheet3" sheetId="28" state="hidden" r:id="rId9"/>
  </sheets>
  <definedNames>
    <definedName name="_xlnm.Print_Area" localSheetId="4">Avenue!$A$1:$AD$152</definedName>
    <definedName name="_xlnm.Print_Area" localSheetId="3">Markaz!$A$1:$AD$152</definedName>
    <definedName name="_xlnm.Print_Titles" localSheetId="4">Avenue!$2:$3</definedName>
    <definedName name="_xlnm.Print_Titles" localSheetId="3">Markaz!$2:$3</definedName>
    <definedName name="Z_02AA01BD_C75B_4B6E_A8E6_EEB6E90D29E4_.wvu.Rows" localSheetId="4" hidden="1">Avenue!#REF!</definedName>
    <definedName name="Z_02AA01BD_C75B_4B6E_A8E6_EEB6E90D29E4_.wvu.Rows" localSheetId="2" hidden="1">Consolidated!#REF!</definedName>
    <definedName name="Z_02AA01BD_C75B_4B6E_A8E6_EEB6E90D29E4_.wvu.Rows" localSheetId="3" hidden="1">Markaz!#REF!</definedName>
    <definedName name="Z_209662B1_09B2_4060_A837_250CED7848ED_.wvu.Rows" localSheetId="4" hidden="1">Avenue!#REF!</definedName>
    <definedName name="Z_209662B1_09B2_4060_A837_250CED7848ED_.wvu.Rows" localSheetId="2" hidden="1">Consolidated!#REF!</definedName>
    <definedName name="Z_209662B1_09B2_4060_A837_250CED7848ED_.wvu.Rows" localSheetId="3" hidden="1">Markaz!#REF!</definedName>
    <definedName name="Z_879F34B1_DA85_44D2_99EE_74A633FB2C72_.wvu.Rows" localSheetId="4" hidden="1">Avenue!#REF!</definedName>
    <definedName name="Z_879F34B1_DA85_44D2_99EE_74A633FB2C72_.wvu.Rows" localSheetId="2" hidden="1">Consolidated!#REF!</definedName>
    <definedName name="Z_879F34B1_DA85_44D2_99EE_74A633FB2C72_.wvu.Rows" localSheetId="3" hidden="1">Markaz!#REF!</definedName>
    <definedName name="Z_A8167CC1_C909_4D11_B8D5_4313083C8125_.wvu.Cols" localSheetId="4" hidden="1">Avenue!$AE:$AH</definedName>
    <definedName name="Z_A8167CC1_C909_4D11_B8D5_4313083C8125_.wvu.Cols" localSheetId="2" hidden="1">Consolidated!$AE:$AH</definedName>
    <definedName name="Z_A8167CC1_C909_4D11_B8D5_4313083C8125_.wvu.Cols" localSheetId="3" hidden="1">Markaz!$AE:$AH</definedName>
    <definedName name="Z_A8167CC1_C909_4D11_B8D5_4313083C8125_.wvu.Cols" localSheetId="0" hidden="1">Sheet4!$I:$I</definedName>
    <definedName name="Z_A8167CC1_C909_4D11_B8D5_4313083C8125_.wvu.Rows" localSheetId="4" hidden="1">Avenue!#REF!</definedName>
    <definedName name="Z_A8167CC1_C909_4D11_B8D5_4313083C8125_.wvu.Rows" localSheetId="2" hidden="1">Consolidated!#REF!</definedName>
    <definedName name="Z_A8167CC1_C909_4D11_B8D5_4313083C8125_.wvu.Rows" localSheetId="3" hidden="1">Markaz!#REF!</definedName>
    <definedName name="Z_AA4262F8_9AB3_4147_94E2_8DEF81F7E83C_.wvu.Rows" localSheetId="4" hidden="1">Avenue!#REF!</definedName>
    <definedName name="Z_AA4262F8_9AB3_4147_94E2_8DEF81F7E83C_.wvu.Rows" localSheetId="2" hidden="1">Consolidated!#REF!</definedName>
    <definedName name="Z_AA4262F8_9AB3_4147_94E2_8DEF81F7E83C_.wvu.Rows" localSheetId="3" hidden="1">Markaz!#REF!</definedName>
    <definedName name="Z_B2BB7590_1CD2_4457_858D_F8835B99F338_.wvu.Rows" localSheetId="4" hidden="1">Avenue!#REF!</definedName>
    <definedName name="Z_B2BB7590_1CD2_4457_858D_F8835B99F338_.wvu.Rows" localSheetId="2" hidden="1">Consolidated!#REF!</definedName>
    <definedName name="Z_B2BB7590_1CD2_4457_858D_F8835B99F338_.wvu.Rows" localSheetId="3" hidden="1">Markaz!#REF!</definedName>
    <definedName name="Z_BFB0E08A_7D07_48F2_93C4_BE631A8642F6_.wvu.Rows" localSheetId="4" hidden="1">Avenue!#REF!</definedName>
    <definedName name="Z_BFB0E08A_7D07_48F2_93C4_BE631A8642F6_.wvu.Rows" localSheetId="2" hidden="1">Consolidated!#REF!</definedName>
    <definedName name="Z_BFB0E08A_7D07_48F2_93C4_BE631A8642F6_.wvu.Rows" localSheetId="3" hidden="1">Markaz!#REF!</definedName>
    <definedName name="Z_D65E0E17_9A53_4B36_ADDE_FDFBD878E6A1_.wvu.Rows" localSheetId="4" hidden="1">Avenue!#REF!</definedName>
    <definedName name="Z_D65E0E17_9A53_4B36_ADDE_FDFBD878E6A1_.wvu.Rows" localSheetId="2" hidden="1">Consolidated!#REF!</definedName>
    <definedName name="Z_D65E0E17_9A53_4B36_ADDE_FDFBD878E6A1_.wvu.Rows" localSheetId="3" hidden="1">Markaz!#REF!</definedName>
    <definedName name="Z_E19D3675_E478_4A54_8E7A_94A199F67811_.wvu.Rows" localSheetId="4" hidden="1">Avenue!#REF!</definedName>
    <definedName name="Z_E19D3675_E478_4A54_8E7A_94A199F67811_.wvu.Rows" localSheetId="2" hidden="1">Consolidated!#REF!</definedName>
    <definedName name="Z_E19D3675_E478_4A54_8E7A_94A199F67811_.wvu.Rows" localSheetId="3" hidden="1">Markaz!#REF!</definedName>
    <definedName name="Z_F3E5B7E7_D3C6_4CDC_BAA7_D62F15A870E4_.wvu.Rows" localSheetId="4" hidden="1">Avenue!#REF!</definedName>
    <definedName name="Z_F3E5B7E7_D3C6_4CDC_BAA7_D62F15A870E4_.wvu.Rows" localSheetId="2" hidden="1">Consolidated!#REF!</definedName>
    <definedName name="Z_F3E5B7E7_D3C6_4CDC_BAA7_D62F15A870E4_.wvu.Rows" localSheetId="3" hidden="1">Markaz!#REF!</definedName>
  </definedNames>
  <calcPr calcId="125725"/>
  <customWorkbookViews>
    <customWorkbookView name="MatalanMIS - Personal View" guid="{AA4262F8-9AB3-4147-94E2-8DEF81F7E83C}" mergeInterval="0" personalView="1" maximized="1" xWindow="1" yWindow="1" windowWidth="1276" windowHeight="803" tabRatio="844" activeSheetId="1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Nikhil Cheda - Personal View" guid="{E19D3675-E478-4A54-8E7A-94A199F67811}" mergeInterval="0" personalView="1" maximized="1" xWindow="1" yWindow="1" windowWidth="1356" windowHeight="525" tabRatio="844" activeSheetId="4"/>
  </customWorkbookViews>
  <fileRecoveryPr autoRecover="0"/>
</workbook>
</file>

<file path=xl/calcChain.xml><?xml version="1.0" encoding="utf-8"?>
<calcChain xmlns="http://schemas.openxmlformats.org/spreadsheetml/2006/main">
  <c r="Z117" i="24"/>
  <c r="X117"/>
  <c r="V117"/>
  <c r="T117"/>
  <c r="R117"/>
  <c r="P117"/>
  <c r="N117"/>
  <c r="L117"/>
  <c r="J117"/>
  <c r="H117"/>
  <c r="F117"/>
  <c r="D117"/>
  <c r="AM117" i="23"/>
  <c r="G17" i="24"/>
  <c r="Q17" i="23"/>
  <c r="G17"/>
  <c r="E17"/>
  <c r="C17"/>
  <c r="Y42"/>
  <c r="W42"/>
  <c r="U42"/>
  <c r="S42"/>
  <c r="Q42"/>
  <c r="O42"/>
  <c r="M42"/>
  <c r="K42"/>
  <c r="I42"/>
  <c r="G42"/>
  <c r="E42"/>
  <c r="C42"/>
  <c r="Z25" i="24"/>
  <c r="X25"/>
  <c r="V25"/>
  <c r="T25"/>
  <c r="R25"/>
  <c r="P25"/>
  <c r="N25"/>
  <c r="L25"/>
  <c r="J25"/>
  <c r="H25"/>
  <c r="F25"/>
  <c r="D25"/>
  <c r="O17"/>
  <c r="U17" i="23"/>
  <c r="M17"/>
  <c r="I17"/>
  <c r="Y17"/>
  <c r="C17" i="24"/>
  <c r="Y17"/>
  <c r="Y27" i="23"/>
  <c r="Z27"/>
  <c r="W27"/>
  <c r="X27"/>
  <c r="U27"/>
  <c r="V27"/>
  <c r="S27"/>
  <c r="T27"/>
  <c r="Q27"/>
  <c r="R27"/>
  <c r="O27"/>
  <c r="P27"/>
  <c r="M27"/>
  <c r="N27"/>
  <c r="K27"/>
  <c r="L27"/>
  <c r="I27"/>
  <c r="J27"/>
  <c r="G27"/>
  <c r="H27"/>
  <c r="E27"/>
  <c r="F27"/>
  <c r="C27"/>
  <c r="D27"/>
  <c r="Y27" i="24"/>
  <c r="W27"/>
  <c r="U27"/>
  <c r="S27"/>
  <c r="Q27"/>
  <c r="O27"/>
  <c r="M27"/>
  <c r="K27"/>
  <c r="I27"/>
  <c r="G27"/>
  <c r="E27"/>
  <c r="C27"/>
  <c r="Q17"/>
  <c r="M17"/>
  <c r="K17"/>
  <c r="I17"/>
  <c r="E17"/>
  <c r="S17" i="23"/>
  <c r="O17"/>
  <c r="K17"/>
  <c r="AC114" i="24"/>
  <c r="AD114"/>
  <c r="AB114"/>
  <c r="AA114"/>
  <c r="Z114"/>
  <c r="X114"/>
  <c r="V114"/>
  <c r="T114"/>
  <c r="R114"/>
  <c r="P114"/>
  <c r="N114"/>
  <c r="L114"/>
  <c r="J114"/>
  <c r="H114"/>
  <c r="F114"/>
  <c r="D114"/>
  <c r="AC113"/>
  <c r="AD113"/>
  <c r="AB113"/>
  <c r="AA113"/>
  <c r="Z113"/>
  <c r="X113"/>
  <c r="V113"/>
  <c r="T113"/>
  <c r="R113"/>
  <c r="P113"/>
  <c r="N113"/>
  <c r="L113"/>
  <c r="J113"/>
  <c r="H113"/>
  <c r="F113"/>
  <c r="D113"/>
  <c r="AC112"/>
  <c r="AD112"/>
  <c r="AB112"/>
  <c r="AA112"/>
  <c r="Z112"/>
  <c r="X112"/>
  <c r="V112"/>
  <c r="T112"/>
  <c r="R112"/>
  <c r="P112"/>
  <c r="N112"/>
  <c r="L112"/>
  <c r="J112"/>
  <c r="H112"/>
  <c r="F112"/>
  <c r="D112"/>
  <c r="AC111"/>
  <c r="AD111"/>
  <c r="AB111"/>
  <c r="AA111"/>
  <c r="Z111"/>
  <c r="X111"/>
  <c r="V111"/>
  <c r="T111"/>
  <c r="R111"/>
  <c r="P111"/>
  <c r="N111"/>
  <c r="L111"/>
  <c r="J111"/>
  <c r="H111"/>
  <c r="F111"/>
  <c r="D111"/>
  <c r="AC110"/>
  <c r="AD110"/>
  <c r="AB110"/>
  <c r="AA110"/>
  <c r="Z110"/>
  <c r="X110"/>
  <c r="V110"/>
  <c r="T110"/>
  <c r="R110"/>
  <c r="P110"/>
  <c r="N110"/>
  <c r="L110"/>
  <c r="J110"/>
  <c r="H110"/>
  <c r="F110"/>
  <c r="D110"/>
  <c r="AC109"/>
  <c r="AD109"/>
  <c r="AB109"/>
  <c r="AA109"/>
  <c r="Z109"/>
  <c r="X109"/>
  <c r="V109"/>
  <c r="T109"/>
  <c r="S109"/>
  <c r="R109"/>
  <c r="P109"/>
  <c r="N109"/>
  <c r="M109"/>
  <c r="L109"/>
  <c r="J109"/>
  <c r="H109"/>
  <c r="F109"/>
  <c r="D109"/>
  <c r="AA108"/>
  <c r="AC108"/>
  <c r="AD108"/>
  <c r="Z108"/>
  <c r="X108"/>
  <c r="V108"/>
  <c r="T108"/>
  <c r="R108"/>
  <c r="P108"/>
  <c r="N108"/>
  <c r="L108"/>
  <c r="J108"/>
  <c r="H108"/>
  <c r="F108"/>
  <c r="D108"/>
  <c r="AA107"/>
  <c r="AC107"/>
  <c r="AD107"/>
  <c r="Z107"/>
  <c r="X107"/>
  <c r="V107"/>
  <c r="T107"/>
  <c r="R107"/>
  <c r="P107"/>
  <c r="N107"/>
  <c r="L107"/>
  <c r="J107"/>
  <c r="H107"/>
  <c r="F107"/>
  <c r="D107"/>
  <c r="AA106"/>
  <c r="AC106"/>
  <c r="AD106"/>
  <c r="Z106"/>
  <c r="X106"/>
  <c r="V106"/>
  <c r="T106"/>
  <c r="R106"/>
  <c r="P106"/>
  <c r="N106"/>
  <c r="L106"/>
  <c r="J106"/>
  <c r="H106"/>
  <c r="F106"/>
  <c r="D106"/>
  <c r="AA105"/>
  <c r="AC105"/>
  <c r="AD105"/>
  <c r="Z105"/>
  <c r="X105"/>
  <c r="V105"/>
  <c r="T105"/>
  <c r="R105"/>
  <c r="P105"/>
  <c r="N105"/>
  <c r="L105"/>
  <c r="J105"/>
  <c r="H105"/>
  <c r="F105"/>
  <c r="D105"/>
  <c r="AA104"/>
  <c r="AC104"/>
  <c r="AD104"/>
  <c r="Z104"/>
  <c r="X104"/>
  <c r="V104"/>
  <c r="T104"/>
  <c r="R104"/>
  <c r="P104"/>
  <c r="N104"/>
  <c r="L104"/>
  <c r="J104"/>
  <c r="H104"/>
  <c r="F104"/>
  <c r="D104"/>
  <c r="Z103"/>
  <c r="Y103"/>
  <c r="W103"/>
  <c r="X103"/>
  <c r="V103"/>
  <c r="U103"/>
  <c r="S103"/>
  <c r="T103"/>
  <c r="R103"/>
  <c r="Q103"/>
  <c r="O103"/>
  <c r="P103"/>
  <c r="N103"/>
  <c r="L103"/>
  <c r="K103"/>
  <c r="J103"/>
  <c r="I103"/>
  <c r="H103"/>
  <c r="G103"/>
  <c r="F103"/>
  <c r="E103"/>
  <c r="D103"/>
  <c r="C103"/>
  <c r="AD102"/>
  <c r="AC102"/>
  <c r="AB102"/>
  <c r="AA102"/>
  <c r="Z102"/>
  <c r="X102"/>
  <c r="V102"/>
  <c r="T102"/>
  <c r="R102"/>
  <c r="P102"/>
  <c r="N102"/>
  <c r="L102"/>
  <c r="J102"/>
  <c r="H102"/>
  <c r="F102"/>
  <c r="D102"/>
  <c r="AD101"/>
  <c r="AC101"/>
  <c r="AB101"/>
  <c r="AA101"/>
  <c r="Z101"/>
  <c r="X101"/>
  <c r="V101"/>
  <c r="T101"/>
  <c r="R101"/>
  <c r="P101"/>
  <c r="N101"/>
  <c r="L101"/>
  <c r="J101"/>
  <c r="H101"/>
  <c r="F101"/>
  <c r="D101"/>
  <c r="AD100"/>
  <c r="AC100"/>
  <c r="AB100"/>
  <c r="AA100"/>
  <c r="Z100"/>
  <c r="X100"/>
  <c r="V100"/>
  <c r="T100"/>
  <c r="R100"/>
  <c r="P100"/>
  <c r="N100"/>
  <c r="L100"/>
  <c r="J100"/>
  <c r="H100"/>
  <c r="F100"/>
  <c r="D100"/>
  <c r="AD99"/>
  <c r="AC99"/>
  <c r="AB99"/>
  <c r="AA99"/>
  <c r="Z99"/>
  <c r="X99"/>
  <c r="V99"/>
  <c r="T99"/>
  <c r="R99"/>
  <c r="P99"/>
  <c r="N99"/>
  <c r="L99"/>
  <c r="J99"/>
  <c r="H99"/>
  <c r="F99"/>
  <c r="D99"/>
  <c r="AD98"/>
  <c r="AC98"/>
  <c r="AB98"/>
  <c r="AA98"/>
  <c r="Z98"/>
  <c r="X98"/>
  <c r="V98"/>
  <c r="T98"/>
  <c r="R98"/>
  <c r="P98"/>
  <c r="N98"/>
  <c r="L98"/>
  <c r="J98"/>
  <c r="H98"/>
  <c r="F98"/>
  <c r="D98"/>
  <c r="AD97"/>
  <c r="AC97"/>
  <c r="AB97"/>
  <c r="AA97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C96"/>
  <c r="AA96"/>
  <c r="AA95"/>
  <c r="AC95"/>
  <c r="AD95"/>
  <c r="Z95"/>
  <c r="X95"/>
  <c r="V95"/>
  <c r="T95"/>
  <c r="R95"/>
  <c r="P95"/>
  <c r="N95"/>
  <c r="L95"/>
  <c r="J95"/>
  <c r="H95"/>
  <c r="F95"/>
  <c r="D95"/>
  <c r="AA94"/>
  <c r="AC94"/>
  <c r="AD94"/>
  <c r="Z94"/>
  <c r="X94"/>
  <c r="V94"/>
  <c r="T94"/>
  <c r="R94"/>
  <c r="P94"/>
  <c r="N94"/>
  <c r="L94"/>
  <c r="J94"/>
  <c r="H94"/>
  <c r="F94"/>
  <c r="D94"/>
  <c r="AB114" i="23"/>
  <c r="AA114"/>
  <c r="AC114"/>
  <c r="AD114"/>
  <c r="Z114"/>
  <c r="X114"/>
  <c r="V114"/>
  <c r="T114"/>
  <c r="R114"/>
  <c r="P114"/>
  <c r="N114"/>
  <c r="L114"/>
  <c r="J114"/>
  <c r="H114"/>
  <c r="F114"/>
  <c r="D114"/>
  <c r="AB113"/>
  <c r="AA113"/>
  <c r="AC113"/>
  <c r="AD113"/>
  <c r="Z113"/>
  <c r="X113"/>
  <c r="V113"/>
  <c r="T113"/>
  <c r="R113"/>
  <c r="P113"/>
  <c r="N113"/>
  <c r="L113"/>
  <c r="J113"/>
  <c r="H113"/>
  <c r="F113"/>
  <c r="D113"/>
  <c r="AB112"/>
  <c r="AA112"/>
  <c r="AC112"/>
  <c r="AD112"/>
  <c r="Z112"/>
  <c r="X112"/>
  <c r="V112"/>
  <c r="T112"/>
  <c r="R112"/>
  <c r="P112"/>
  <c r="N112"/>
  <c r="L112"/>
  <c r="J112"/>
  <c r="H112"/>
  <c r="F112"/>
  <c r="D112"/>
  <c r="AB111"/>
  <c r="AA111"/>
  <c r="AC111"/>
  <c r="AD111"/>
  <c r="Z111"/>
  <c r="X111"/>
  <c r="V111"/>
  <c r="T111"/>
  <c r="R111"/>
  <c r="P111"/>
  <c r="N111"/>
  <c r="L111"/>
  <c r="J111"/>
  <c r="H111"/>
  <c r="F111"/>
  <c r="D111"/>
  <c r="AB110"/>
  <c r="AA110"/>
  <c r="AC110"/>
  <c r="AD110"/>
  <c r="Z110"/>
  <c r="X110"/>
  <c r="V110"/>
  <c r="T110"/>
  <c r="R110"/>
  <c r="P110"/>
  <c r="N110"/>
  <c r="L110"/>
  <c r="J110"/>
  <c r="H110"/>
  <c r="F110"/>
  <c r="D110"/>
  <c r="AB109"/>
  <c r="AA109"/>
  <c r="AC109"/>
  <c r="AD109"/>
  <c r="Z109"/>
  <c r="X109"/>
  <c r="V109"/>
  <c r="T109"/>
  <c r="S109"/>
  <c r="R109"/>
  <c r="P109"/>
  <c r="N109"/>
  <c r="M109"/>
  <c r="L109"/>
  <c r="J109"/>
  <c r="H109"/>
  <c r="F109"/>
  <c r="D109"/>
  <c r="AD108"/>
  <c r="AC108"/>
  <c r="AA108"/>
  <c r="AB108"/>
  <c r="Z108"/>
  <c r="X108"/>
  <c r="V108"/>
  <c r="T108"/>
  <c r="R108"/>
  <c r="P108"/>
  <c r="N108"/>
  <c r="L108"/>
  <c r="J108"/>
  <c r="H108"/>
  <c r="F108"/>
  <c r="D108"/>
  <c r="AD107"/>
  <c r="AC107"/>
  <c r="AA107"/>
  <c r="AB107"/>
  <c r="Z107"/>
  <c r="X107"/>
  <c r="V107"/>
  <c r="T107"/>
  <c r="R107"/>
  <c r="P107"/>
  <c r="N107"/>
  <c r="L107"/>
  <c r="J107"/>
  <c r="H107"/>
  <c r="F107"/>
  <c r="D107"/>
  <c r="AD106"/>
  <c r="AC106"/>
  <c r="AA106"/>
  <c r="AB106"/>
  <c r="Z106"/>
  <c r="X106"/>
  <c r="V106"/>
  <c r="T106"/>
  <c r="R106"/>
  <c r="P106"/>
  <c r="N106"/>
  <c r="L106"/>
  <c r="J106"/>
  <c r="H106"/>
  <c r="F106"/>
  <c r="D106"/>
  <c r="AD105"/>
  <c r="AC105"/>
  <c r="AA105"/>
  <c r="AB105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C104"/>
  <c r="AA104"/>
  <c r="Z103"/>
  <c r="Y103"/>
  <c r="W103"/>
  <c r="X103"/>
  <c r="V103"/>
  <c r="U103"/>
  <c r="S103"/>
  <c r="T103"/>
  <c r="R103"/>
  <c r="Q103"/>
  <c r="O103"/>
  <c r="P103"/>
  <c r="N103"/>
  <c r="K103"/>
  <c r="L103"/>
  <c r="J103"/>
  <c r="I103"/>
  <c r="G103"/>
  <c r="H103"/>
  <c r="F103"/>
  <c r="E103"/>
  <c r="C103"/>
  <c r="D103"/>
  <c r="AD102"/>
  <c r="AC102"/>
  <c r="AA102"/>
  <c r="AB102"/>
  <c r="Z102"/>
  <c r="X102"/>
  <c r="V102"/>
  <c r="T102"/>
  <c r="R102"/>
  <c r="P102"/>
  <c r="N102"/>
  <c r="L102"/>
  <c r="J102"/>
  <c r="H102"/>
  <c r="F102"/>
  <c r="D102"/>
  <c r="AD101"/>
  <c r="AC101"/>
  <c r="AA101"/>
  <c r="AB101"/>
  <c r="Z101"/>
  <c r="X101"/>
  <c r="V101"/>
  <c r="T101"/>
  <c r="R101"/>
  <c r="P101"/>
  <c r="N101"/>
  <c r="L101"/>
  <c r="J101"/>
  <c r="H101"/>
  <c r="F101"/>
  <c r="D101"/>
  <c r="AD100"/>
  <c r="AC100"/>
  <c r="AA100"/>
  <c r="AB100"/>
  <c r="Z100"/>
  <c r="X100"/>
  <c r="V100"/>
  <c r="T100"/>
  <c r="R100"/>
  <c r="P100"/>
  <c r="N100"/>
  <c r="L100"/>
  <c r="J100"/>
  <c r="H100"/>
  <c r="F100"/>
  <c r="D100"/>
  <c r="AD99"/>
  <c r="AC99"/>
  <c r="AA99"/>
  <c r="AB99"/>
  <c r="Z99"/>
  <c r="X99"/>
  <c r="V99"/>
  <c r="T99"/>
  <c r="R99"/>
  <c r="P99"/>
  <c r="N99"/>
  <c r="L99"/>
  <c r="J99"/>
  <c r="H99"/>
  <c r="F99"/>
  <c r="D99"/>
  <c r="AD98"/>
  <c r="AC98"/>
  <c r="AA98"/>
  <c r="AB98"/>
  <c r="Z98"/>
  <c r="X98"/>
  <c r="V98"/>
  <c r="T98"/>
  <c r="R98"/>
  <c r="P98"/>
  <c r="N98"/>
  <c r="L98"/>
  <c r="J98"/>
  <c r="H98"/>
  <c r="F98"/>
  <c r="D98"/>
  <c r="AD97"/>
  <c r="AC97"/>
  <c r="AA97"/>
  <c r="AB97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C96"/>
  <c r="AA96"/>
  <c r="AA95"/>
  <c r="AB95"/>
  <c r="Z95"/>
  <c r="X95"/>
  <c r="V95"/>
  <c r="T95"/>
  <c r="R95"/>
  <c r="P95"/>
  <c r="N95"/>
  <c r="L95"/>
  <c r="J95"/>
  <c r="H95"/>
  <c r="F95"/>
  <c r="D95"/>
  <c r="AA94"/>
  <c r="AB94"/>
  <c r="Z94"/>
  <c r="X94"/>
  <c r="V94"/>
  <c r="T94"/>
  <c r="R94"/>
  <c r="P94"/>
  <c r="N94"/>
  <c r="L94"/>
  <c r="J94"/>
  <c r="H94"/>
  <c r="F94"/>
  <c r="D94"/>
  <c r="Y5" i="24"/>
  <c r="W5"/>
  <c r="U5"/>
  <c r="S5"/>
  <c r="Q5"/>
  <c r="O5"/>
  <c r="M5"/>
  <c r="K5"/>
  <c r="I5"/>
  <c r="G5"/>
  <c r="E5"/>
  <c r="C5"/>
  <c r="Y5" i="23"/>
  <c r="W5"/>
  <c r="U5"/>
  <c r="S5"/>
  <c r="Q5"/>
  <c r="O5"/>
  <c r="M5"/>
  <c r="K5"/>
  <c r="I5"/>
  <c r="G5"/>
  <c r="E5"/>
  <c r="C5"/>
  <c r="AB96" i="24"/>
  <c r="AC96"/>
  <c r="AD96"/>
  <c r="AA103"/>
  <c r="AB94"/>
  <c r="AB95"/>
  <c r="D96"/>
  <c r="AB104"/>
  <c r="AB105"/>
  <c r="AB106"/>
  <c r="AB107"/>
  <c r="AB108"/>
  <c r="AC104" i="23"/>
  <c r="AD104"/>
  <c r="AB104"/>
  <c r="AB96"/>
  <c r="AC96"/>
  <c r="AD96"/>
  <c r="AC94"/>
  <c r="AD94"/>
  <c r="AC95"/>
  <c r="AD95"/>
  <c r="AA103"/>
  <c r="D96"/>
  <c r="D104"/>
  <c r="AA45" i="24"/>
  <c r="AA66" i="23"/>
  <c r="C53"/>
  <c r="E53"/>
  <c r="G53"/>
  <c r="I53"/>
  <c r="K53"/>
  <c r="M53"/>
  <c r="O53"/>
  <c r="Q53"/>
  <c r="S53"/>
  <c r="Y118" i="10"/>
  <c r="W118"/>
  <c r="U118"/>
  <c r="S118"/>
  <c r="Q118"/>
  <c r="O118"/>
  <c r="M118"/>
  <c r="K118"/>
  <c r="I118"/>
  <c r="G118"/>
  <c r="E118"/>
  <c r="C118"/>
  <c r="L19" i="26"/>
  <c r="D16"/>
  <c r="D15"/>
  <c r="D8"/>
  <c r="D10"/>
  <c r="D11"/>
  <c r="D12"/>
  <c r="D13"/>
  <c r="D14"/>
  <c r="G14"/>
  <c r="G18"/>
  <c r="G17"/>
  <c r="G16"/>
  <c r="G15"/>
  <c r="G13"/>
  <c r="G12"/>
  <c r="G11"/>
  <c r="G10"/>
  <c r="G8"/>
  <c r="AA57" i="23"/>
  <c r="AA67"/>
  <c r="AA68"/>
  <c r="AA69"/>
  <c r="AC69"/>
  <c r="AA70"/>
  <c r="AC70"/>
  <c r="AA71"/>
  <c r="AC71"/>
  <c r="AA72"/>
  <c r="AC72"/>
  <c r="AA73"/>
  <c r="AC73"/>
  <c r="AA74"/>
  <c r="AC74"/>
  <c r="AA75"/>
  <c r="AC75"/>
  <c r="AC103" i="24"/>
  <c r="AD103"/>
  <c r="AB103"/>
  <c r="AB103" i="23"/>
  <c r="AC103"/>
  <c r="AD103"/>
  <c r="AA118" i="10"/>
  <c r="AC118"/>
  <c r="AS142" i="24"/>
  <c r="AQ142" i="23"/>
  <c r="AA142" i="24"/>
  <c r="Y53" i="23"/>
  <c r="W53"/>
  <c r="U53"/>
  <c r="U115" i="24"/>
  <c r="C115"/>
  <c r="U115" i="23"/>
  <c r="M115"/>
  <c r="W115" i="24"/>
  <c r="S115"/>
  <c r="Q115"/>
  <c r="O115"/>
  <c r="M115"/>
  <c r="I115"/>
  <c r="G115"/>
  <c r="E115"/>
  <c r="Y115" i="23"/>
  <c r="W115"/>
  <c r="S115"/>
  <c r="Q115"/>
  <c r="O115"/>
  <c r="K115"/>
  <c r="I115"/>
  <c r="G115"/>
  <c r="C115"/>
  <c r="Y115" i="24"/>
  <c r="K115"/>
  <c r="E115" i="23"/>
  <c r="AA115"/>
  <c r="AC115"/>
  <c r="AA115" i="24"/>
  <c r="Y105" i="10"/>
  <c r="U105"/>
  <c r="I105"/>
  <c r="Q104"/>
  <c r="U103"/>
  <c r="E103"/>
  <c r="U102"/>
  <c r="Y101"/>
  <c r="Q103"/>
  <c r="AA137" i="23"/>
  <c r="AA138"/>
  <c r="AA139"/>
  <c r="AA140"/>
  <c r="AA141"/>
  <c r="AA142"/>
  <c r="Y151" i="10"/>
  <c r="W151"/>
  <c r="U151"/>
  <c r="S151"/>
  <c r="Q151"/>
  <c r="O151"/>
  <c r="M151"/>
  <c r="K151"/>
  <c r="I151"/>
  <c r="G151"/>
  <c r="E151"/>
  <c r="C151"/>
  <c r="Y150"/>
  <c r="W150"/>
  <c r="U150"/>
  <c r="S150"/>
  <c r="Q150"/>
  <c r="O150"/>
  <c r="M150"/>
  <c r="K150"/>
  <c r="I150"/>
  <c r="G150"/>
  <c r="E150"/>
  <c r="C150"/>
  <c r="Y149"/>
  <c r="W149"/>
  <c r="U149"/>
  <c r="S149"/>
  <c r="Q149"/>
  <c r="O149"/>
  <c r="M149"/>
  <c r="K149"/>
  <c r="I149"/>
  <c r="G149"/>
  <c r="E149"/>
  <c r="C149"/>
  <c r="Y147"/>
  <c r="W147"/>
  <c r="U147"/>
  <c r="S147"/>
  <c r="Q147"/>
  <c r="O147"/>
  <c r="M147"/>
  <c r="K147"/>
  <c r="I147"/>
  <c r="G147"/>
  <c r="E147"/>
  <c r="C147"/>
  <c r="Y143"/>
  <c r="W143"/>
  <c r="U143"/>
  <c r="S143"/>
  <c r="Q143"/>
  <c r="O143"/>
  <c r="M143"/>
  <c r="K143"/>
  <c r="I143"/>
  <c r="G143"/>
  <c r="E143"/>
  <c r="C143"/>
  <c r="Y142"/>
  <c r="W142"/>
  <c r="U142"/>
  <c r="S142"/>
  <c r="Q142"/>
  <c r="O142"/>
  <c r="M142"/>
  <c r="K142"/>
  <c r="I142"/>
  <c r="G142"/>
  <c r="E142"/>
  <c r="C142"/>
  <c r="Y141"/>
  <c r="W141"/>
  <c r="U141"/>
  <c r="S141"/>
  <c r="Q141"/>
  <c r="O141"/>
  <c r="M141"/>
  <c r="K141"/>
  <c r="I141"/>
  <c r="G141"/>
  <c r="E141"/>
  <c r="C141"/>
  <c r="Y140"/>
  <c r="W140"/>
  <c r="U140"/>
  <c r="S140"/>
  <c r="Q140"/>
  <c r="O140"/>
  <c r="M140"/>
  <c r="K140"/>
  <c r="I140"/>
  <c r="G140"/>
  <c r="E140"/>
  <c r="C140"/>
  <c r="Y139"/>
  <c r="W139"/>
  <c r="U139"/>
  <c r="S139"/>
  <c r="Q139"/>
  <c r="O139"/>
  <c r="M139"/>
  <c r="K139"/>
  <c r="I139"/>
  <c r="G139"/>
  <c r="E139"/>
  <c r="C139"/>
  <c r="Y138"/>
  <c r="W138"/>
  <c r="U138"/>
  <c r="S138"/>
  <c r="Q138"/>
  <c r="O138"/>
  <c r="M138"/>
  <c r="K138"/>
  <c r="I138"/>
  <c r="G138"/>
  <c r="E138"/>
  <c r="C138"/>
  <c r="Y137"/>
  <c r="W137"/>
  <c r="U137"/>
  <c r="S137"/>
  <c r="Q137"/>
  <c r="O137"/>
  <c r="M137"/>
  <c r="K137"/>
  <c r="I137"/>
  <c r="G137"/>
  <c r="E137"/>
  <c r="C137"/>
  <c r="Y136"/>
  <c r="W136"/>
  <c r="U136"/>
  <c r="S136"/>
  <c r="Q136"/>
  <c r="O136"/>
  <c r="M136"/>
  <c r="K136"/>
  <c r="I136"/>
  <c r="G136"/>
  <c r="E136"/>
  <c r="C136"/>
  <c r="Y134"/>
  <c r="W134"/>
  <c r="U134"/>
  <c r="S134"/>
  <c r="Q134"/>
  <c r="O134"/>
  <c r="M134"/>
  <c r="K134"/>
  <c r="I134"/>
  <c r="G134"/>
  <c r="E134"/>
  <c r="C134"/>
  <c r="Y133"/>
  <c r="W133"/>
  <c r="U133"/>
  <c r="S133"/>
  <c r="Q133"/>
  <c r="O133"/>
  <c r="M133"/>
  <c r="K133"/>
  <c r="I133"/>
  <c r="G133"/>
  <c r="E133"/>
  <c r="C133"/>
  <c r="Y132"/>
  <c r="W132"/>
  <c r="U132"/>
  <c r="S132"/>
  <c r="Q132"/>
  <c r="O132"/>
  <c r="M132"/>
  <c r="K132"/>
  <c r="I132"/>
  <c r="G132"/>
  <c r="E132"/>
  <c r="C132"/>
  <c r="Y130"/>
  <c r="W130"/>
  <c r="U130"/>
  <c r="S130"/>
  <c r="Q130"/>
  <c r="O130"/>
  <c r="M130"/>
  <c r="K130"/>
  <c r="I130"/>
  <c r="G130"/>
  <c r="E130"/>
  <c r="C130"/>
  <c r="Y128"/>
  <c r="W128"/>
  <c r="U128"/>
  <c r="S128"/>
  <c r="Q128"/>
  <c r="O128"/>
  <c r="M128"/>
  <c r="K128"/>
  <c r="I128"/>
  <c r="G128"/>
  <c r="E128"/>
  <c r="C128"/>
  <c r="Y127"/>
  <c r="W127"/>
  <c r="U127"/>
  <c r="S127"/>
  <c r="Q127"/>
  <c r="O127"/>
  <c r="M127"/>
  <c r="K127"/>
  <c r="I127"/>
  <c r="G127"/>
  <c r="E127"/>
  <c r="C127"/>
  <c r="Y125"/>
  <c r="W125"/>
  <c r="U125"/>
  <c r="S125"/>
  <c r="Q125"/>
  <c r="O125"/>
  <c r="M125"/>
  <c r="K125"/>
  <c r="I125"/>
  <c r="G125"/>
  <c r="E125"/>
  <c r="C125"/>
  <c r="Y124"/>
  <c r="W124"/>
  <c r="U124"/>
  <c r="S124"/>
  <c r="Q124"/>
  <c r="O124"/>
  <c r="M124"/>
  <c r="K124"/>
  <c r="I124"/>
  <c r="G124"/>
  <c r="E124"/>
  <c r="C124"/>
  <c r="Y123"/>
  <c r="W123"/>
  <c r="U123"/>
  <c r="S123"/>
  <c r="Q123"/>
  <c r="O123"/>
  <c r="M123"/>
  <c r="K123"/>
  <c r="I123"/>
  <c r="G123"/>
  <c r="E123"/>
  <c r="C123"/>
  <c r="Y122"/>
  <c r="W122"/>
  <c r="U122"/>
  <c r="S122"/>
  <c r="Q122"/>
  <c r="O122"/>
  <c r="M122"/>
  <c r="K122"/>
  <c r="I122"/>
  <c r="G122"/>
  <c r="E122"/>
  <c r="C122"/>
  <c r="Y121"/>
  <c r="W121"/>
  <c r="U121"/>
  <c r="S121"/>
  <c r="Q121"/>
  <c r="O121"/>
  <c r="M121"/>
  <c r="K121"/>
  <c r="I121"/>
  <c r="G121"/>
  <c r="E121"/>
  <c r="C121"/>
  <c r="Y120"/>
  <c r="W120"/>
  <c r="U120"/>
  <c r="S120"/>
  <c r="Q120"/>
  <c r="O120"/>
  <c r="M120"/>
  <c r="K120"/>
  <c r="I120"/>
  <c r="G120"/>
  <c r="E120"/>
  <c r="C120"/>
  <c r="Y119"/>
  <c r="W119"/>
  <c r="U119"/>
  <c r="S119"/>
  <c r="Q119"/>
  <c r="O119"/>
  <c r="M119"/>
  <c r="K119"/>
  <c r="I119"/>
  <c r="G119"/>
  <c r="E119"/>
  <c r="C119"/>
  <c r="Y117"/>
  <c r="W117"/>
  <c r="U117"/>
  <c r="S117"/>
  <c r="Q117"/>
  <c r="O117"/>
  <c r="M117"/>
  <c r="K117"/>
  <c r="I117"/>
  <c r="G117"/>
  <c r="E117"/>
  <c r="C117"/>
  <c r="Y116"/>
  <c r="W116"/>
  <c r="U116"/>
  <c r="S116"/>
  <c r="Q116"/>
  <c r="O116"/>
  <c r="M116"/>
  <c r="K116"/>
  <c r="I116"/>
  <c r="G116"/>
  <c r="E116"/>
  <c r="C116"/>
  <c r="Y115"/>
  <c r="W115"/>
  <c r="U115"/>
  <c r="S115"/>
  <c r="Q115"/>
  <c r="O115"/>
  <c r="M115"/>
  <c r="K115"/>
  <c r="I115"/>
  <c r="G115"/>
  <c r="E115"/>
  <c r="C115"/>
  <c r="Y114"/>
  <c r="W114"/>
  <c r="U114"/>
  <c r="S114"/>
  <c r="Q114"/>
  <c r="O114"/>
  <c r="M114"/>
  <c r="K114"/>
  <c r="I114"/>
  <c r="G114"/>
  <c r="E114"/>
  <c r="C114"/>
  <c r="Y113"/>
  <c r="W113"/>
  <c r="U113"/>
  <c r="S113"/>
  <c r="Q113"/>
  <c r="O113"/>
  <c r="M113"/>
  <c r="K113"/>
  <c r="I113"/>
  <c r="G113"/>
  <c r="E113"/>
  <c r="C113"/>
  <c r="Y112"/>
  <c r="W112"/>
  <c r="U112"/>
  <c r="S112"/>
  <c r="Q112"/>
  <c r="O112"/>
  <c r="M112"/>
  <c r="K112"/>
  <c r="I112"/>
  <c r="G112"/>
  <c r="E112"/>
  <c r="C112"/>
  <c r="Y111"/>
  <c r="W111"/>
  <c r="U111"/>
  <c r="S111"/>
  <c r="Q111"/>
  <c r="O111"/>
  <c r="M111"/>
  <c r="K111"/>
  <c r="I111"/>
  <c r="G111"/>
  <c r="E111"/>
  <c r="C111"/>
  <c r="Y110"/>
  <c r="W110"/>
  <c r="U110"/>
  <c r="S110"/>
  <c r="Q110"/>
  <c r="O110"/>
  <c r="M110"/>
  <c r="K110"/>
  <c r="I110"/>
  <c r="G110"/>
  <c r="E110"/>
  <c r="C110"/>
  <c r="Y109"/>
  <c r="W109"/>
  <c r="U109"/>
  <c r="S109"/>
  <c r="Q109"/>
  <c r="O109"/>
  <c r="M109"/>
  <c r="K109"/>
  <c r="I109"/>
  <c r="G109"/>
  <c r="E109"/>
  <c r="C109"/>
  <c r="Y108"/>
  <c r="W108"/>
  <c r="U108"/>
  <c r="S108"/>
  <c r="Q108"/>
  <c r="O108"/>
  <c r="M108"/>
  <c r="K108"/>
  <c r="I108"/>
  <c r="G108"/>
  <c r="E108"/>
  <c r="C108"/>
  <c r="Y107"/>
  <c r="W107"/>
  <c r="U107"/>
  <c r="S107"/>
  <c r="Q107"/>
  <c r="O107"/>
  <c r="M107"/>
  <c r="K107"/>
  <c r="I107"/>
  <c r="G107"/>
  <c r="E107"/>
  <c r="C107"/>
  <c r="Y106"/>
  <c r="W106"/>
  <c r="U106"/>
  <c r="Q106"/>
  <c r="M106"/>
  <c r="I106"/>
  <c r="W105"/>
  <c r="G105"/>
  <c r="O104"/>
  <c r="S103"/>
  <c r="Y102"/>
  <c r="Q101"/>
  <c r="Y100"/>
  <c r="W100"/>
  <c r="U100"/>
  <c r="S100"/>
  <c r="Q100"/>
  <c r="O100"/>
  <c r="M100"/>
  <c r="K100"/>
  <c r="I100"/>
  <c r="G100"/>
  <c r="E100"/>
  <c r="C100"/>
  <c r="Y99"/>
  <c r="W99"/>
  <c r="U99"/>
  <c r="S99"/>
  <c r="Q99"/>
  <c r="O99"/>
  <c r="M99"/>
  <c r="K99"/>
  <c r="I99"/>
  <c r="G99"/>
  <c r="E99"/>
  <c r="C99"/>
  <c r="Y98"/>
  <c r="W98"/>
  <c r="U98"/>
  <c r="S98"/>
  <c r="Q98"/>
  <c r="O98"/>
  <c r="M98"/>
  <c r="K98"/>
  <c r="I98"/>
  <c r="G98"/>
  <c r="E98"/>
  <c r="C98"/>
  <c r="Y97"/>
  <c r="W97"/>
  <c r="U97"/>
  <c r="S97"/>
  <c r="Q97"/>
  <c r="O97"/>
  <c r="M97"/>
  <c r="K97"/>
  <c r="I97"/>
  <c r="G97"/>
  <c r="E97"/>
  <c r="C97"/>
  <c r="Y96"/>
  <c r="W96"/>
  <c r="U96"/>
  <c r="S96"/>
  <c r="Q96"/>
  <c r="O96"/>
  <c r="M96"/>
  <c r="K96"/>
  <c r="I96"/>
  <c r="G96"/>
  <c r="E96"/>
  <c r="C96"/>
  <c r="Y95"/>
  <c r="W95"/>
  <c r="U95"/>
  <c r="S95"/>
  <c r="Q95"/>
  <c r="O95"/>
  <c r="M95"/>
  <c r="K95"/>
  <c r="I95"/>
  <c r="G95"/>
  <c r="E95"/>
  <c r="C95"/>
  <c r="Y94"/>
  <c r="W94"/>
  <c r="U94"/>
  <c r="S94"/>
  <c r="Q94"/>
  <c r="O94"/>
  <c r="M94"/>
  <c r="K94"/>
  <c r="I94"/>
  <c r="G94"/>
  <c r="E94"/>
  <c r="C94"/>
  <c r="Y92"/>
  <c r="W92"/>
  <c r="U92"/>
  <c r="S92"/>
  <c r="Q92"/>
  <c r="O92"/>
  <c r="M92"/>
  <c r="K92"/>
  <c r="I92"/>
  <c r="G92"/>
  <c r="E92"/>
  <c r="C92"/>
  <c r="Y91"/>
  <c r="W91"/>
  <c r="U91"/>
  <c r="S91"/>
  <c r="Q91"/>
  <c r="O91"/>
  <c r="M91"/>
  <c r="K91"/>
  <c r="I91"/>
  <c r="G91"/>
  <c r="E91"/>
  <c r="C91"/>
  <c r="Y90"/>
  <c r="W90"/>
  <c r="U90"/>
  <c r="S90"/>
  <c r="Q90"/>
  <c r="O90"/>
  <c r="M90"/>
  <c r="K90"/>
  <c r="I90"/>
  <c r="G90"/>
  <c r="E90"/>
  <c r="C90"/>
  <c r="Y89"/>
  <c r="W89"/>
  <c r="U89"/>
  <c r="S89"/>
  <c r="Q89"/>
  <c r="O89"/>
  <c r="M89"/>
  <c r="K89"/>
  <c r="I89"/>
  <c r="G89"/>
  <c r="E89"/>
  <c r="C89"/>
  <c r="Y88"/>
  <c r="W88"/>
  <c r="U88"/>
  <c r="S88"/>
  <c r="Q88"/>
  <c r="O88"/>
  <c r="M88"/>
  <c r="K88"/>
  <c r="I88"/>
  <c r="G88"/>
  <c r="E88"/>
  <c r="C88"/>
  <c r="Y87"/>
  <c r="W87"/>
  <c r="U87"/>
  <c r="S87"/>
  <c r="Q87"/>
  <c r="O87"/>
  <c r="M87"/>
  <c r="K87"/>
  <c r="I87"/>
  <c r="G87"/>
  <c r="E87"/>
  <c r="C87"/>
  <c r="Y86"/>
  <c r="W86"/>
  <c r="U86"/>
  <c r="S86"/>
  <c r="Q86"/>
  <c r="O86"/>
  <c r="M86"/>
  <c r="K86"/>
  <c r="I86"/>
  <c r="G86"/>
  <c r="E86"/>
  <c r="C86"/>
  <c r="Y85"/>
  <c r="W85"/>
  <c r="U85"/>
  <c r="S85"/>
  <c r="Q85"/>
  <c r="O85"/>
  <c r="M85"/>
  <c r="K85"/>
  <c r="I85"/>
  <c r="G85"/>
  <c r="E85"/>
  <c r="C85"/>
  <c r="Y84"/>
  <c r="W84"/>
  <c r="U84"/>
  <c r="S84"/>
  <c r="Q84"/>
  <c r="O84"/>
  <c r="M84"/>
  <c r="K84"/>
  <c r="I84"/>
  <c r="G84"/>
  <c r="E84"/>
  <c r="C84"/>
  <c r="Y83"/>
  <c r="W83"/>
  <c r="U83"/>
  <c r="S83"/>
  <c r="Q83"/>
  <c r="O83"/>
  <c r="M83"/>
  <c r="K83"/>
  <c r="I83"/>
  <c r="G83"/>
  <c r="E83"/>
  <c r="C83"/>
  <c r="Y82"/>
  <c r="W82"/>
  <c r="U82"/>
  <c r="S82"/>
  <c r="Q82"/>
  <c r="O82"/>
  <c r="M82"/>
  <c r="K82"/>
  <c r="I82"/>
  <c r="G82"/>
  <c r="E82"/>
  <c r="C82"/>
  <c r="Y81"/>
  <c r="W81"/>
  <c r="U81"/>
  <c r="S81"/>
  <c r="Q81"/>
  <c r="O81"/>
  <c r="M81"/>
  <c r="K81"/>
  <c r="I81"/>
  <c r="G81"/>
  <c r="E81"/>
  <c r="C81"/>
  <c r="Y80"/>
  <c r="W80"/>
  <c r="U80"/>
  <c r="S80"/>
  <c r="Q80"/>
  <c r="O80"/>
  <c r="M80"/>
  <c r="K80"/>
  <c r="I80"/>
  <c r="G80"/>
  <c r="E80"/>
  <c r="C80"/>
  <c r="Y79"/>
  <c r="W79"/>
  <c r="U79"/>
  <c r="S79"/>
  <c r="Q79"/>
  <c r="O79"/>
  <c r="M79"/>
  <c r="K79"/>
  <c r="I79"/>
  <c r="G79"/>
  <c r="E79"/>
  <c r="C79"/>
  <c r="Y78"/>
  <c r="W78"/>
  <c r="U78"/>
  <c r="S78"/>
  <c r="Q78"/>
  <c r="O78"/>
  <c r="M78"/>
  <c r="K78"/>
  <c r="I78"/>
  <c r="G78"/>
  <c r="E78"/>
  <c r="C78"/>
  <c r="Y77"/>
  <c r="W77"/>
  <c r="U77"/>
  <c r="S77"/>
  <c r="Q77"/>
  <c r="O77"/>
  <c r="M77"/>
  <c r="K77"/>
  <c r="I77"/>
  <c r="G77"/>
  <c r="E77"/>
  <c r="C77"/>
  <c r="Y75"/>
  <c r="W75"/>
  <c r="U75"/>
  <c r="S75"/>
  <c r="Q75"/>
  <c r="O75"/>
  <c r="M75"/>
  <c r="K75"/>
  <c r="I75"/>
  <c r="G75"/>
  <c r="E75"/>
  <c r="C75"/>
  <c r="Y74"/>
  <c r="W74"/>
  <c r="U74"/>
  <c r="S74"/>
  <c r="Q74"/>
  <c r="O74"/>
  <c r="M74"/>
  <c r="K74"/>
  <c r="I74"/>
  <c r="G74"/>
  <c r="E74"/>
  <c r="C74"/>
  <c r="Y73"/>
  <c r="W73"/>
  <c r="U73"/>
  <c r="S73"/>
  <c r="Q73"/>
  <c r="O73"/>
  <c r="M73"/>
  <c r="K73"/>
  <c r="I73"/>
  <c r="G73"/>
  <c r="E73"/>
  <c r="C73"/>
  <c r="Y72"/>
  <c r="W72"/>
  <c r="U72"/>
  <c r="S72"/>
  <c r="Q72"/>
  <c r="O72"/>
  <c r="M72"/>
  <c r="K72"/>
  <c r="I72"/>
  <c r="G72"/>
  <c r="E72"/>
  <c r="C72"/>
  <c r="Y71"/>
  <c r="W71"/>
  <c r="U71"/>
  <c r="S71"/>
  <c r="Q71"/>
  <c r="O71"/>
  <c r="M71"/>
  <c r="K71"/>
  <c r="I71"/>
  <c r="G71"/>
  <c r="E71"/>
  <c r="C71"/>
  <c r="Y70"/>
  <c r="W70"/>
  <c r="U70"/>
  <c r="S70"/>
  <c r="Q70"/>
  <c r="O70"/>
  <c r="M70"/>
  <c r="K70"/>
  <c r="I70"/>
  <c r="G70"/>
  <c r="E70"/>
  <c r="C70"/>
  <c r="Y69"/>
  <c r="W69"/>
  <c r="U69"/>
  <c r="S69"/>
  <c r="Q69"/>
  <c r="O69"/>
  <c r="M69"/>
  <c r="K69"/>
  <c r="I69"/>
  <c r="G69"/>
  <c r="E69"/>
  <c r="C69"/>
  <c r="Y68"/>
  <c r="W68"/>
  <c r="U68"/>
  <c r="S68"/>
  <c r="Q68"/>
  <c r="O68"/>
  <c r="M68"/>
  <c r="K68"/>
  <c r="I68"/>
  <c r="G68"/>
  <c r="E68"/>
  <c r="C68"/>
  <c r="Y67"/>
  <c r="W67"/>
  <c r="U67"/>
  <c r="S67"/>
  <c r="Q67"/>
  <c r="O67"/>
  <c r="M67"/>
  <c r="K67"/>
  <c r="I67"/>
  <c r="G67"/>
  <c r="E67"/>
  <c r="C67"/>
  <c r="Y66"/>
  <c r="W66"/>
  <c r="U66"/>
  <c r="S66"/>
  <c r="Q66"/>
  <c r="O66"/>
  <c r="M66"/>
  <c r="K66"/>
  <c r="I66"/>
  <c r="G66"/>
  <c r="E66"/>
  <c r="C66"/>
  <c r="Y65"/>
  <c r="W65"/>
  <c r="U65"/>
  <c r="S65"/>
  <c r="Q65"/>
  <c r="O65"/>
  <c r="M65"/>
  <c r="K65"/>
  <c r="I65"/>
  <c r="G65"/>
  <c r="E65"/>
  <c r="C65"/>
  <c r="Y64"/>
  <c r="W64"/>
  <c r="U64"/>
  <c r="S64"/>
  <c r="Q64"/>
  <c r="O64"/>
  <c r="M64"/>
  <c r="K64"/>
  <c r="I64"/>
  <c r="G64"/>
  <c r="E64"/>
  <c r="C64"/>
  <c r="Y63"/>
  <c r="W63"/>
  <c r="U63"/>
  <c r="S63"/>
  <c r="Q63"/>
  <c r="O63"/>
  <c r="M63"/>
  <c r="K63"/>
  <c r="I63"/>
  <c r="G63"/>
  <c r="E63"/>
  <c r="C63"/>
  <c r="Y62"/>
  <c r="W62"/>
  <c r="U62"/>
  <c r="S62"/>
  <c r="Q62"/>
  <c r="O62"/>
  <c r="M62"/>
  <c r="K62"/>
  <c r="I62"/>
  <c r="G62"/>
  <c r="E62"/>
  <c r="C62"/>
  <c r="Y61"/>
  <c r="W61"/>
  <c r="U61"/>
  <c r="S61"/>
  <c r="Q61"/>
  <c r="O61"/>
  <c r="M61"/>
  <c r="K61"/>
  <c r="I61"/>
  <c r="G61"/>
  <c r="E61"/>
  <c r="C61"/>
  <c r="Y60"/>
  <c r="W60"/>
  <c r="U60"/>
  <c r="S60"/>
  <c r="Q60"/>
  <c r="O60"/>
  <c r="M60"/>
  <c r="K60"/>
  <c r="I60"/>
  <c r="G60"/>
  <c r="E60"/>
  <c r="C60"/>
  <c r="Y59"/>
  <c r="W59"/>
  <c r="U59"/>
  <c r="S59"/>
  <c r="Q59"/>
  <c r="O59"/>
  <c r="M59"/>
  <c r="K59"/>
  <c r="I59"/>
  <c r="G59"/>
  <c r="E59"/>
  <c r="C59"/>
  <c r="Y58"/>
  <c r="W58"/>
  <c r="U58"/>
  <c r="S58"/>
  <c r="Q58"/>
  <c r="O58"/>
  <c r="M58"/>
  <c r="K58"/>
  <c r="I58"/>
  <c r="G58"/>
  <c r="E58"/>
  <c r="C58"/>
  <c r="Y57"/>
  <c r="W57"/>
  <c r="U57"/>
  <c r="S57"/>
  <c r="Q57"/>
  <c r="O57"/>
  <c r="M57"/>
  <c r="K57"/>
  <c r="I57"/>
  <c r="G57"/>
  <c r="E57"/>
  <c r="C57"/>
  <c r="Y56"/>
  <c r="W56"/>
  <c r="U56"/>
  <c r="S56"/>
  <c r="Q56"/>
  <c r="O56"/>
  <c r="M56"/>
  <c r="K56"/>
  <c r="I56"/>
  <c r="G56"/>
  <c r="E56"/>
  <c r="C56"/>
  <c r="Y55"/>
  <c r="W55"/>
  <c r="U55"/>
  <c r="S55"/>
  <c r="Q55"/>
  <c r="O55"/>
  <c r="M55"/>
  <c r="K55"/>
  <c r="I55"/>
  <c r="G55"/>
  <c r="E55"/>
  <c r="C55"/>
  <c r="Y54"/>
  <c r="W54"/>
  <c r="U54"/>
  <c r="S54"/>
  <c r="Q54"/>
  <c r="O54"/>
  <c r="M54"/>
  <c r="K54"/>
  <c r="I54"/>
  <c r="G54"/>
  <c r="E54"/>
  <c r="C54"/>
  <c r="Y53"/>
  <c r="W53"/>
  <c r="U53"/>
  <c r="S53"/>
  <c r="Q53"/>
  <c r="O53"/>
  <c r="M53"/>
  <c r="K53"/>
  <c r="I53"/>
  <c r="G53"/>
  <c r="E53"/>
  <c r="C53"/>
  <c r="Y52"/>
  <c r="W52"/>
  <c r="U52"/>
  <c r="S52"/>
  <c r="Q52"/>
  <c r="O52"/>
  <c r="M52"/>
  <c r="K52"/>
  <c r="I52"/>
  <c r="G52"/>
  <c r="E52"/>
  <c r="C52"/>
  <c r="Y51"/>
  <c r="W51"/>
  <c r="U51"/>
  <c r="S51"/>
  <c r="Q51"/>
  <c r="O51"/>
  <c r="M51"/>
  <c r="K51"/>
  <c r="I51"/>
  <c r="G51"/>
  <c r="E51"/>
  <c r="C51"/>
  <c r="Y50"/>
  <c r="W50"/>
  <c r="U50"/>
  <c r="S50"/>
  <c r="Q50"/>
  <c r="O50"/>
  <c r="M50"/>
  <c r="K50"/>
  <c r="I50"/>
  <c r="G50"/>
  <c r="E50"/>
  <c r="C50"/>
  <c r="Y49"/>
  <c r="W49"/>
  <c r="U49"/>
  <c r="S49"/>
  <c r="Q49"/>
  <c r="O49"/>
  <c r="M49"/>
  <c r="K49"/>
  <c r="I49"/>
  <c r="G49"/>
  <c r="E49"/>
  <c r="C49"/>
  <c r="Y48"/>
  <c r="W48"/>
  <c r="U48"/>
  <c r="S48"/>
  <c r="Q48"/>
  <c r="O48"/>
  <c r="M48"/>
  <c r="K48"/>
  <c r="I48"/>
  <c r="G48"/>
  <c r="E48"/>
  <c r="C48"/>
  <c r="Y47"/>
  <c r="W47"/>
  <c r="U47"/>
  <c r="S47"/>
  <c r="Q47"/>
  <c r="O47"/>
  <c r="M47"/>
  <c r="K47"/>
  <c r="I47"/>
  <c r="G47"/>
  <c r="E47"/>
  <c r="C47"/>
  <c r="Y46"/>
  <c r="W46"/>
  <c r="U46"/>
  <c r="S46"/>
  <c r="Q46"/>
  <c r="O46"/>
  <c r="M46"/>
  <c r="K46"/>
  <c r="I46"/>
  <c r="G46"/>
  <c r="E46"/>
  <c r="C46"/>
  <c r="Y45"/>
  <c r="W45"/>
  <c r="U45"/>
  <c r="S45"/>
  <c r="Q45"/>
  <c r="O45"/>
  <c r="M45"/>
  <c r="K45"/>
  <c r="I45"/>
  <c r="G45"/>
  <c r="E45"/>
  <c r="C45"/>
  <c r="Y44"/>
  <c r="W44"/>
  <c r="U44"/>
  <c r="S44"/>
  <c r="Q44"/>
  <c r="O44"/>
  <c r="M44"/>
  <c r="K44"/>
  <c r="I44"/>
  <c r="G44"/>
  <c r="E44"/>
  <c r="C44"/>
  <c r="Y43"/>
  <c r="W43"/>
  <c r="U43"/>
  <c r="S43"/>
  <c r="Q43"/>
  <c r="O43"/>
  <c r="M43"/>
  <c r="K43"/>
  <c r="I43"/>
  <c r="G43"/>
  <c r="E43"/>
  <c r="C43"/>
  <c r="H8" i="24"/>
  <c r="H7"/>
  <c r="H6"/>
  <c r="Z9"/>
  <c r="H5"/>
  <c r="F5"/>
  <c r="AA123" i="10"/>
  <c r="AC123"/>
  <c r="AA149"/>
  <c r="AA150"/>
  <c r="AA151"/>
  <c r="AA48"/>
  <c r="AC48"/>
  <c r="AA49"/>
  <c r="AA50"/>
  <c r="AA54"/>
  <c r="AA84"/>
  <c r="AC84"/>
  <c r="AA89"/>
  <c r="AC89"/>
  <c r="AA44"/>
  <c r="AA92"/>
  <c r="AC92"/>
  <c r="AA52"/>
  <c r="AC52"/>
  <c r="AA47"/>
  <c r="AC47"/>
  <c r="AA83"/>
  <c r="AC83"/>
  <c r="AA51"/>
  <c r="AC51"/>
  <c r="AA85"/>
  <c r="AC85"/>
  <c r="AA43"/>
  <c r="AC43"/>
  <c r="AA45"/>
  <c r="AC45"/>
  <c r="AA46"/>
  <c r="AC46"/>
  <c r="AA53"/>
  <c r="AC53"/>
  <c r="AC115" i="24"/>
  <c r="E105" i="10"/>
  <c r="I102"/>
  <c r="G104"/>
  <c r="O105"/>
  <c r="K106"/>
  <c r="S106"/>
  <c r="E102"/>
  <c r="K103"/>
  <c r="W104"/>
  <c r="G106"/>
  <c r="O106"/>
  <c r="AA114"/>
  <c r="AC114"/>
  <c r="I101"/>
  <c r="Q102"/>
  <c r="M103"/>
  <c r="I104"/>
  <c r="Y104"/>
  <c r="Q105"/>
  <c r="M101"/>
  <c r="M104"/>
  <c r="O101"/>
  <c r="G102"/>
  <c r="W102"/>
  <c r="AA107"/>
  <c r="AC107"/>
  <c r="AA115"/>
  <c r="AC115"/>
  <c r="AA112"/>
  <c r="AC112"/>
  <c r="G101"/>
  <c r="W101"/>
  <c r="O102"/>
  <c r="C103"/>
  <c r="AA94"/>
  <c r="AC94"/>
  <c r="AA96"/>
  <c r="AA98"/>
  <c r="AC98"/>
  <c r="AA100"/>
  <c r="E101"/>
  <c r="K101"/>
  <c r="U101"/>
  <c r="C102"/>
  <c r="M102"/>
  <c r="S102"/>
  <c r="I103"/>
  <c r="O103"/>
  <c r="Y103"/>
  <c r="E104"/>
  <c r="K104"/>
  <c r="U104"/>
  <c r="C105"/>
  <c r="M105"/>
  <c r="S105"/>
  <c r="E106"/>
  <c r="AA108"/>
  <c r="AC108"/>
  <c r="AA110"/>
  <c r="AA113"/>
  <c r="AC113"/>
  <c r="AA111"/>
  <c r="AC111"/>
  <c r="AA95"/>
  <c r="AA97"/>
  <c r="AA99"/>
  <c r="C101"/>
  <c r="S101"/>
  <c r="K102"/>
  <c r="G103"/>
  <c r="W103"/>
  <c r="C104"/>
  <c r="S104"/>
  <c r="K105"/>
  <c r="C106"/>
  <c r="AA109"/>
  <c r="AC109"/>
  <c r="AC44"/>
  <c r="AC50"/>
  <c r="AC54"/>
  <c r="AC49"/>
  <c r="AA55"/>
  <c r="AA63"/>
  <c r="AA67"/>
  <c r="AA71"/>
  <c r="AA75"/>
  <c r="AA82"/>
  <c r="AA58"/>
  <c r="AA62"/>
  <c r="AA66"/>
  <c r="AA70"/>
  <c r="AA74"/>
  <c r="AA57"/>
  <c r="AA61"/>
  <c r="AA65"/>
  <c r="AA69"/>
  <c r="AA73"/>
  <c r="AA56"/>
  <c r="AA60"/>
  <c r="AA64"/>
  <c r="AA68"/>
  <c r="AA72"/>
  <c r="AA77"/>
  <c r="AA78"/>
  <c r="AA79"/>
  <c r="AA80"/>
  <c r="AA81"/>
  <c r="AA138"/>
  <c r="AA87"/>
  <c r="AA91"/>
  <c r="AA127"/>
  <c r="AA128"/>
  <c r="AA136"/>
  <c r="AA139"/>
  <c r="AA147"/>
  <c r="AA130"/>
  <c r="AA86"/>
  <c r="AA90"/>
  <c r="AA120"/>
  <c r="AA122"/>
  <c r="AA134"/>
  <c r="AA124"/>
  <c r="AA132"/>
  <c r="AA143"/>
  <c r="AC149"/>
  <c r="AC150"/>
  <c r="AC151"/>
  <c r="AA88"/>
  <c r="AA141"/>
  <c r="AA119"/>
  <c r="AC119"/>
  <c r="AA140"/>
  <c r="AA142"/>
  <c r="AC142" s="1"/>
  <c r="AA116"/>
  <c r="AA121"/>
  <c r="AA125"/>
  <c r="AA133"/>
  <c r="AA137"/>
  <c r="P6" i="24"/>
  <c r="X6"/>
  <c r="P7"/>
  <c r="X7"/>
  <c r="P8"/>
  <c r="X8"/>
  <c r="F6"/>
  <c r="N6"/>
  <c r="V6"/>
  <c r="F7"/>
  <c r="N7"/>
  <c r="V7"/>
  <c r="F8"/>
  <c r="N8"/>
  <c r="V8"/>
  <c r="D6"/>
  <c r="L6"/>
  <c r="T6"/>
  <c r="D7"/>
  <c r="L7"/>
  <c r="T7"/>
  <c r="D8"/>
  <c r="L8"/>
  <c r="T8"/>
  <c r="J5"/>
  <c r="J6"/>
  <c r="R6"/>
  <c r="Z6"/>
  <c r="J7"/>
  <c r="R7"/>
  <c r="Z7"/>
  <c r="J8"/>
  <c r="R8"/>
  <c r="Z8"/>
  <c r="AC95" i="10"/>
  <c r="AC100"/>
  <c r="AC97"/>
  <c r="AC99"/>
  <c r="AC96"/>
  <c r="AA103"/>
  <c r="AA104"/>
  <c r="AA102"/>
  <c r="AA105"/>
  <c r="AA106"/>
  <c r="AA101"/>
  <c r="AC110"/>
  <c r="AC143"/>
  <c r="AC86"/>
  <c r="AC60"/>
  <c r="AC70"/>
  <c r="AC137"/>
  <c r="AC121"/>
  <c r="AC141"/>
  <c r="AC132"/>
  <c r="AC128"/>
  <c r="AC87"/>
  <c r="AC78"/>
  <c r="AC68"/>
  <c r="AC65"/>
  <c r="AC62"/>
  <c r="AC75"/>
  <c r="AC140"/>
  <c r="AC124"/>
  <c r="AC73"/>
  <c r="AC125"/>
  <c r="AC122"/>
  <c r="AC120"/>
  <c r="AC130"/>
  <c r="AC136"/>
  <c r="AC91"/>
  <c r="AC79"/>
  <c r="AC72"/>
  <c r="AC56"/>
  <c r="AC69"/>
  <c r="AC66"/>
  <c r="AC82"/>
  <c r="AC63"/>
  <c r="AC139"/>
  <c r="AC80"/>
  <c r="AC57"/>
  <c r="AC67"/>
  <c r="AC133"/>
  <c r="AC116"/>
  <c r="AC88"/>
  <c r="AC134"/>
  <c r="AC90"/>
  <c r="AC147"/>
  <c r="AC127"/>
  <c r="AC138"/>
  <c r="AC81"/>
  <c r="AC77"/>
  <c r="AC64"/>
  <c r="AC61"/>
  <c r="AC74"/>
  <c r="AC58"/>
  <c r="AC71"/>
  <c r="AC55"/>
  <c r="AA75" i="24"/>
  <c r="AC75"/>
  <c r="AA74"/>
  <c r="AC74"/>
  <c r="AA73"/>
  <c r="AC73"/>
  <c r="AA72"/>
  <c r="AC72"/>
  <c r="AA71"/>
  <c r="AC71"/>
  <c r="AA70"/>
  <c r="AC70"/>
  <c r="AA69"/>
  <c r="AC69"/>
  <c r="C76" i="23"/>
  <c r="AC103" i="10"/>
  <c r="AC106"/>
  <c r="AC102"/>
  <c r="AC104"/>
  <c r="AC101"/>
  <c r="AC105"/>
  <c r="AA77" i="24"/>
  <c r="AA78"/>
  <c r="AA79"/>
  <c r="AA80"/>
  <c r="AA81"/>
  <c r="AA82"/>
  <c r="AA83"/>
  <c r="AA84"/>
  <c r="AA85"/>
  <c r="AA86"/>
  <c r="AA87"/>
  <c r="AA88"/>
  <c r="AA89"/>
  <c r="AA90"/>
  <c r="AA91"/>
  <c r="Y76"/>
  <c r="W76"/>
  <c r="U76"/>
  <c r="S76"/>
  <c r="Q76"/>
  <c r="O76"/>
  <c r="M76"/>
  <c r="K76"/>
  <c r="I76"/>
  <c r="G76"/>
  <c r="E76"/>
  <c r="C76"/>
  <c r="Y76" i="23"/>
  <c r="Y76" i="10" s="1"/>
  <c r="Z76" s="1"/>
  <c r="W76" i="23"/>
  <c r="U76"/>
  <c r="S76"/>
  <c r="Q76"/>
  <c r="Q76" i="10" s="1"/>
  <c r="R76" s="1"/>
  <c r="O76" i="23"/>
  <c r="M76"/>
  <c r="K76"/>
  <c r="I76"/>
  <c r="G76"/>
  <c r="G76" i="10" s="1"/>
  <c r="E76" i="23"/>
  <c r="D14" i="24"/>
  <c r="D13"/>
  <c r="AS106"/>
  <c r="AS104"/>
  <c r="D10"/>
  <c r="D11"/>
  <c r="AA25"/>
  <c r="AA26"/>
  <c r="AA42" i="23"/>
  <c r="E68" i="22"/>
  <c r="G68"/>
  <c r="C16" i="25"/>
  <c r="I164" i="23"/>
  <c r="I162"/>
  <c r="M164" i="24"/>
  <c r="M162"/>
  <c r="M164" i="23"/>
  <c r="M162"/>
  <c r="AS6" i="24"/>
  <c r="AS7"/>
  <c r="AS8"/>
  <c r="AS9"/>
  <c r="AS10"/>
  <c r="AS11"/>
  <c r="AS13"/>
  <c r="AS14"/>
  <c r="AS18"/>
  <c r="AS19"/>
  <c r="AS20"/>
  <c r="AS22"/>
  <c r="AS23"/>
  <c r="AS24"/>
  <c r="AS25"/>
  <c r="AS26"/>
  <c r="AS28"/>
  <c r="AS29"/>
  <c r="AS30"/>
  <c r="AS31"/>
  <c r="AS32"/>
  <c r="AS33"/>
  <c r="AS34"/>
  <c r="AS38"/>
  <c r="AS39"/>
  <c r="AS40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7"/>
  <c r="AS78"/>
  <c r="AS79"/>
  <c r="AS80"/>
  <c r="AS81"/>
  <c r="AS82"/>
  <c r="AS83"/>
  <c r="AS84"/>
  <c r="AS85"/>
  <c r="AS86"/>
  <c r="AS87"/>
  <c r="AS88"/>
  <c r="AS89"/>
  <c r="AS90"/>
  <c r="AS91"/>
  <c r="AS92"/>
  <c r="AS94"/>
  <c r="AS95"/>
  <c r="AS96"/>
  <c r="AS97"/>
  <c r="AS98"/>
  <c r="AS99"/>
  <c r="AS101"/>
  <c r="AS102"/>
  <c r="AS103"/>
  <c r="AS105"/>
  <c r="AS107"/>
  <c r="AS116"/>
  <c r="AS117"/>
  <c r="AS119"/>
  <c r="AS120"/>
  <c r="AS121"/>
  <c r="AS122"/>
  <c r="AS123"/>
  <c r="AS124"/>
  <c r="AS125"/>
  <c r="AS127"/>
  <c r="AS128"/>
  <c r="AS130"/>
  <c r="AS132"/>
  <c r="AS133"/>
  <c r="AS134"/>
  <c r="AS136"/>
  <c r="AS137"/>
  <c r="AS138"/>
  <c r="AS139"/>
  <c r="AS140"/>
  <c r="AS141"/>
  <c r="AS143"/>
  <c r="AS147"/>
  <c r="AS149"/>
  <c r="AS150"/>
  <c r="AS151"/>
  <c r="AS5"/>
  <c r="AQ6" i="23"/>
  <c r="AQ7"/>
  <c r="AQ8"/>
  <c r="AQ9"/>
  <c r="AQ10"/>
  <c r="AQ11"/>
  <c r="AQ13"/>
  <c r="AQ14"/>
  <c r="AQ18"/>
  <c r="AQ19"/>
  <c r="AQ20"/>
  <c r="AQ22"/>
  <c r="AQ23"/>
  <c r="AQ24"/>
  <c r="AQ25"/>
  <c r="AQ26"/>
  <c r="AQ28"/>
  <c r="AQ29"/>
  <c r="AQ30"/>
  <c r="AQ31"/>
  <c r="AQ32"/>
  <c r="AQ33"/>
  <c r="AQ34"/>
  <c r="AQ38"/>
  <c r="AQ39"/>
  <c r="AQ40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7"/>
  <c r="AQ78"/>
  <c r="AQ79"/>
  <c r="AQ80"/>
  <c r="AQ81"/>
  <c r="AQ82"/>
  <c r="AQ83"/>
  <c r="AQ84"/>
  <c r="AQ85"/>
  <c r="AQ86"/>
  <c r="AQ87"/>
  <c r="AQ88"/>
  <c r="AQ89"/>
  <c r="AQ90"/>
  <c r="AQ91"/>
  <c r="AQ92"/>
  <c r="AQ94"/>
  <c r="AQ95"/>
  <c r="AQ96"/>
  <c r="AQ97"/>
  <c r="AQ98"/>
  <c r="AQ99"/>
  <c r="AQ101"/>
  <c r="AQ102"/>
  <c r="AQ103"/>
  <c r="AQ104"/>
  <c r="AQ105"/>
  <c r="AQ106"/>
  <c r="AQ107"/>
  <c r="AQ116"/>
  <c r="AQ117"/>
  <c r="AQ119"/>
  <c r="AQ120"/>
  <c r="AQ121"/>
  <c r="AQ122"/>
  <c r="AQ123"/>
  <c r="AQ124"/>
  <c r="AQ125"/>
  <c r="AQ127"/>
  <c r="AQ128"/>
  <c r="AQ130"/>
  <c r="AQ132"/>
  <c r="AQ133"/>
  <c r="AQ134"/>
  <c r="AQ136"/>
  <c r="AQ137"/>
  <c r="AQ138"/>
  <c r="AQ139"/>
  <c r="AQ140"/>
  <c r="AQ141"/>
  <c r="AQ143"/>
  <c r="AQ147"/>
  <c r="AQ149"/>
  <c r="AQ150"/>
  <c r="AQ151"/>
  <c r="AQ5"/>
  <c r="C67" i="22"/>
  <c r="G67"/>
  <c r="B72"/>
  <c r="G71"/>
  <c r="G70"/>
  <c r="G69"/>
  <c r="G66"/>
  <c r="E66"/>
  <c r="G65"/>
  <c r="D65"/>
  <c r="G64"/>
  <c r="G63"/>
  <c r="G62"/>
  <c r="G61"/>
  <c r="G60"/>
  <c r="G53"/>
  <c r="B53"/>
  <c r="G52"/>
  <c r="G51"/>
  <c r="G50"/>
  <c r="G49"/>
  <c r="E49"/>
  <c r="G48"/>
  <c r="G47"/>
  <c r="F47"/>
  <c r="H46"/>
  <c r="G46"/>
  <c r="E46"/>
  <c r="G45"/>
  <c r="E45"/>
  <c r="G44"/>
  <c r="G43"/>
  <c r="G42"/>
  <c r="G41"/>
  <c r="F30"/>
  <c r="B30"/>
  <c r="F14"/>
  <c r="U76" i="10"/>
  <c r="M76"/>
  <c r="W76"/>
  <c r="S76"/>
  <c r="O76"/>
  <c r="K76"/>
  <c r="I76"/>
  <c r="E76"/>
  <c r="AT138" i="24"/>
  <c r="AR138" i="23"/>
  <c r="G72" i="22"/>
  <c r="S164" i="24"/>
  <c r="Q164"/>
  <c r="O164"/>
  <c r="K164"/>
  <c r="I164"/>
  <c r="G164"/>
  <c r="E164"/>
  <c r="C164"/>
  <c r="Y162"/>
  <c r="W162"/>
  <c r="U162"/>
  <c r="S162"/>
  <c r="Q162"/>
  <c r="O162"/>
  <c r="K162"/>
  <c r="I162"/>
  <c r="G162"/>
  <c r="E162"/>
  <c r="C162"/>
  <c r="AL151"/>
  <c r="AK151"/>
  <c r="AC151"/>
  <c r="AL150"/>
  <c r="AA150"/>
  <c r="AL149"/>
  <c r="AK149"/>
  <c r="AC149"/>
  <c r="AJ149"/>
  <c r="AM147"/>
  <c r="AN147"/>
  <c r="AL147"/>
  <c r="AK147"/>
  <c r="AC147"/>
  <c r="AJ147"/>
  <c r="S144"/>
  <c r="S166" s="1"/>
  <c r="Q144"/>
  <c r="Q166" s="1"/>
  <c r="O144"/>
  <c r="O15" i="28" s="1"/>
  <c r="M144" i="24"/>
  <c r="M15" i="28" s="1"/>
  <c r="K144" i="24"/>
  <c r="K15" i="28" s="1"/>
  <c r="I144" i="24"/>
  <c r="I15" i="28" s="1"/>
  <c r="G144" i="24"/>
  <c r="G15" i="28" s="1"/>
  <c r="E144" i="24"/>
  <c r="E166" s="1"/>
  <c r="C144"/>
  <c r="C15" i="28" s="1"/>
  <c r="AN143" i="24"/>
  <c r="AM143"/>
  <c r="AL143"/>
  <c r="AH143"/>
  <c r="AH144"/>
  <c r="AC143"/>
  <c r="AA143"/>
  <c r="Y164"/>
  <c r="W144"/>
  <c r="W15" i="28" s="1"/>
  <c r="U144" i="24"/>
  <c r="U15" i="28" s="1"/>
  <c r="AL141" i="24"/>
  <c r="AA141"/>
  <c r="AM140"/>
  <c r="AN140"/>
  <c r="AL140"/>
  <c r="AK140"/>
  <c r="AA140"/>
  <c r="AM139"/>
  <c r="AL139"/>
  <c r="AA139"/>
  <c r="AC139"/>
  <c r="AM138"/>
  <c r="AL138"/>
  <c r="AA138"/>
  <c r="Y144"/>
  <c r="Y15" i="28"/>
  <c r="AK139" i="24"/>
  <c r="AJ139"/>
  <c r="AL142"/>
  <c r="AK142" s="1"/>
  <c r="AK150"/>
  <c r="AC141"/>
  <c r="AJ141"/>
  <c r="W164"/>
  <c r="U164"/>
  <c r="AJ151"/>
  <c r="AM142"/>
  <c r="AN142" s="1"/>
  <c r="W166"/>
  <c r="AK141"/>
  <c r="G166"/>
  <c r="AC150"/>
  <c r="AK143"/>
  <c r="AJ143"/>
  <c r="O166"/>
  <c r="AK138"/>
  <c r="AC138"/>
  <c r="AJ138"/>
  <c r="AN138"/>
  <c r="AM137"/>
  <c r="AL137"/>
  <c r="AC162"/>
  <c r="AA162"/>
  <c r="AJ150"/>
  <c r="AA164"/>
  <c r="AC142"/>
  <c r="AC164" s="1"/>
  <c r="AN137"/>
  <c r="AA137"/>
  <c r="AM136"/>
  <c r="AL136"/>
  <c r="AA136"/>
  <c r="AC136"/>
  <c r="AK136"/>
  <c r="AJ136"/>
  <c r="AN136"/>
  <c r="AA144"/>
  <c r="AA166" s="1"/>
  <c r="AK137"/>
  <c r="AC137"/>
  <c r="AJ137"/>
  <c r="AM134"/>
  <c r="AN134"/>
  <c r="AL134"/>
  <c r="AK134"/>
  <c r="AC134"/>
  <c r="AJ134"/>
  <c r="AM133"/>
  <c r="AN133"/>
  <c r="AL133"/>
  <c r="AA133"/>
  <c r="AC133"/>
  <c r="AJ133"/>
  <c r="AM132"/>
  <c r="AL132"/>
  <c r="AK132"/>
  <c r="AC132"/>
  <c r="AM130"/>
  <c r="AN130"/>
  <c r="AL130"/>
  <c r="AK130"/>
  <c r="AC130"/>
  <c r="AJ130"/>
  <c r="AH129"/>
  <c r="AM128"/>
  <c r="AL128"/>
  <c r="AA128"/>
  <c r="AM127"/>
  <c r="AL127"/>
  <c r="AA127"/>
  <c r="AC127"/>
  <c r="AK133"/>
  <c r="AJ132"/>
  <c r="AK128"/>
  <c r="AN128"/>
  <c r="AK127"/>
  <c r="AJ127"/>
  <c r="AN132"/>
  <c r="Y166"/>
  <c r="AM125"/>
  <c r="AL125"/>
  <c r="AA125"/>
  <c r="AM124"/>
  <c r="AL124"/>
  <c r="AA124"/>
  <c r="AC124"/>
  <c r="AM123"/>
  <c r="AL123"/>
  <c r="AA123"/>
  <c r="AC123"/>
  <c r="AM122"/>
  <c r="AL122"/>
  <c r="AA122"/>
  <c r="AM121"/>
  <c r="AL121"/>
  <c r="AA121"/>
  <c r="AM120"/>
  <c r="AL120"/>
  <c r="AA120"/>
  <c r="AC120"/>
  <c r="AM119"/>
  <c r="AL119"/>
  <c r="AA119"/>
  <c r="AM117"/>
  <c r="AL117"/>
  <c r="AA117"/>
  <c r="AM116"/>
  <c r="AL116"/>
  <c r="AA116"/>
  <c r="AC116"/>
  <c r="AH115"/>
  <c r="AS115"/>
  <c r="AM107"/>
  <c r="AN107"/>
  <c r="AL107"/>
  <c r="AL104"/>
  <c r="AM103"/>
  <c r="AL103"/>
  <c r="AM102"/>
  <c r="AL102"/>
  <c r="AM101"/>
  <c r="AL101"/>
  <c r="AM99"/>
  <c r="AL99"/>
  <c r="AM98"/>
  <c r="AL98"/>
  <c r="AL97"/>
  <c r="AM96"/>
  <c r="AL96"/>
  <c r="AM95"/>
  <c r="AL95"/>
  <c r="AM94"/>
  <c r="AL94"/>
  <c r="AH93"/>
  <c r="Y93"/>
  <c r="W93"/>
  <c r="U93"/>
  <c r="S93"/>
  <c r="Q93"/>
  <c r="O93"/>
  <c r="O16" i="28"/>
  <c r="M93" i="24"/>
  <c r="M16" i="28"/>
  <c r="K93" i="24"/>
  <c r="K16" i="28"/>
  <c r="I93" i="24"/>
  <c r="I16" i="28"/>
  <c r="G93" i="24"/>
  <c r="G16" i="28"/>
  <c r="E93" i="24"/>
  <c r="E16" i="28"/>
  <c r="C93" i="24"/>
  <c r="C16" i="28"/>
  <c r="AM92" i="24"/>
  <c r="AL92"/>
  <c r="AA92"/>
  <c r="AM91"/>
  <c r="AL91"/>
  <c r="AC91"/>
  <c r="AM90"/>
  <c r="AL90"/>
  <c r="AC90"/>
  <c r="AM89"/>
  <c r="AL89"/>
  <c r="AC89"/>
  <c r="AM88"/>
  <c r="AL88"/>
  <c r="AC88"/>
  <c r="AM87"/>
  <c r="AL87"/>
  <c r="AM86"/>
  <c r="AL86"/>
  <c r="AC86"/>
  <c r="AM85"/>
  <c r="AL85"/>
  <c r="AM84"/>
  <c r="AL84"/>
  <c r="AC84"/>
  <c r="AM83"/>
  <c r="AL83"/>
  <c r="AM82"/>
  <c r="AL82"/>
  <c r="AC82"/>
  <c r="AM81"/>
  <c r="AL81"/>
  <c r="AM80"/>
  <c r="AL80"/>
  <c r="AC80"/>
  <c r="AM79"/>
  <c r="AL79"/>
  <c r="AC79"/>
  <c r="AM78"/>
  <c r="AL78"/>
  <c r="AC78"/>
  <c r="AM77"/>
  <c r="AL77"/>
  <c r="AH76"/>
  <c r="AS76"/>
  <c r="AM69"/>
  <c r="AL69"/>
  <c r="AM68"/>
  <c r="AL68"/>
  <c r="AA68"/>
  <c r="AM67"/>
  <c r="AL67"/>
  <c r="AA67"/>
  <c r="AM66"/>
  <c r="AL66"/>
  <c r="AA66"/>
  <c r="AM65"/>
  <c r="AL65"/>
  <c r="AA65"/>
  <c r="AM64"/>
  <c r="AL64"/>
  <c r="AA64"/>
  <c r="AM63"/>
  <c r="AL63"/>
  <c r="AA63"/>
  <c r="AM62"/>
  <c r="AL62"/>
  <c r="AA62"/>
  <c r="AM61"/>
  <c r="AL61"/>
  <c r="AA61"/>
  <c r="AM60"/>
  <c r="AL60"/>
  <c r="AA60"/>
  <c r="AM59"/>
  <c r="AL59"/>
  <c r="AA59"/>
  <c r="R59"/>
  <c r="P59"/>
  <c r="N59"/>
  <c r="L59"/>
  <c r="H59"/>
  <c r="AM58"/>
  <c r="AL58"/>
  <c r="AA58"/>
  <c r="AM57"/>
  <c r="AL57"/>
  <c r="AA57"/>
  <c r="AM56"/>
  <c r="AL56"/>
  <c r="AA56"/>
  <c r="AM55"/>
  <c r="AL55"/>
  <c r="AA55"/>
  <c r="AM54"/>
  <c r="AL54"/>
  <c r="AA54"/>
  <c r="AM53"/>
  <c r="AL53"/>
  <c r="AA53"/>
  <c r="AM52"/>
  <c r="AL52"/>
  <c r="AA52"/>
  <c r="AM51"/>
  <c r="AL51"/>
  <c r="AA51"/>
  <c r="AM50"/>
  <c r="AL50"/>
  <c r="AA50"/>
  <c r="AM49"/>
  <c r="AN49"/>
  <c r="AL49"/>
  <c r="AA49"/>
  <c r="AC49"/>
  <c r="AM48"/>
  <c r="AN48"/>
  <c r="AL48"/>
  <c r="AA48"/>
  <c r="AM47"/>
  <c r="AL47"/>
  <c r="AA47"/>
  <c r="AM46"/>
  <c r="AL46"/>
  <c r="AA46"/>
  <c r="AM45"/>
  <c r="AL45"/>
  <c r="AM44"/>
  <c r="AL44"/>
  <c r="AA44"/>
  <c r="AM43"/>
  <c r="AL43"/>
  <c r="AA43"/>
  <c r="AM42"/>
  <c r="AL42"/>
  <c r="AA42"/>
  <c r="Y41"/>
  <c r="W41"/>
  <c r="U41"/>
  <c r="S41"/>
  <c r="Q41"/>
  <c r="AS41"/>
  <c r="O41"/>
  <c r="M41"/>
  <c r="K41"/>
  <c r="I41"/>
  <c r="G41"/>
  <c r="E41"/>
  <c r="C41"/>
  <c r="AM40"/>
  <c r="AN40"/>
  <c r="AL40"/>
  <c r="AA40"/>
  <c r="AM39"/>
  <c r="AN39"/>
  <c r="AL39"/>
  <c r="AA39"/>
  <c r="AC39"/>
  <c r="AM38"/>
  <c r="AN38"/>
  <c r="AL38"/>
  <c r="AA38"/>
  <c r="AC38"/>
  <c r="AC119"/>
  <c r="AS93"/>
  <c r="Q16" i="28"/>
  <c r="Y16"/>
  <c r="AK40" i="24"/>
  <c r="W16" i="28"/>
  <c r="U16"/>
  <c r="AK48" i="24"/>
  <c r="S16" i="28"/>
  <c r="AK47" i="24"/>
  <c r="AK50"/>
  <c r="AK38"/>
  <c r="AC40"/>
  <c r="AJ40"/>
  <c r="AK49"/>
  <c r="AJ50"/>
  <c r="AK94"/>
  <c r="AA41"/>
  <c r="AJ38"/>
  <c r="AK39"/>
  <c r="AJ39"/>
  <c r="AC50"/>
  <c r="AA76"/>
  <c r="AK69"/>
  <c r="AJ69"/>
  <c r="AJ94"/>
  <c r="AK95"/>
  <c r="AK96"/>
  <c r="AJ116"/>
  <c r="AJ107"/>
  <c r="AK119"/>
  <c r="AK101"/>
  <c r="AK81"/>
  <c r="AK89"/>
  <c r="AJ89"/>
  <c r="AK54"/>
  <c r="AK58"/>
  <c r="AK60"/>
  <c r="AK46"/>
  <c r="AK44"/>
  <c r="AN122"/>
  <c r="AK90"/>
  <c r="AK62"/>
  <c r="AK92"/>
  <c r="AK65"/>
  <c r="AK57"/>
  <c r="AC41"/>
  <c r="AJ41"/>
  <c r="AM41"/>
  <c r="AK64"/>
  <c r="AM104"/>
  <c r="AN104"/>
  <c r="AM105"/>
  <c r="AN105"/>
  <c r="AJ49"/>
  <c r="AC92"/>
  <c r="AJ92"/>
  <c r="AJ96"/>
  <c r="AM97"/>
  <c r="AN97"/>
  <c r="AL105"/>
  <c r="AJ98"/>
  <c r="AK107"/>
  <c r="AK61"/>
  <c r="AK63"/>
  <c r="AK102"/>
  <c r="AK123"/>
  <c r="AK124"/>
  <c r="AJ124"/>
  <c r="AK125"/>
  <c r="AL41"/>
  <c r="AK67"/>
  <c r="AK99"/>
  <c r="AK103"/>
  <c r="AJ103"/>
  <c r="AK116"/>
  <c r="AJ123"/>
  <c r="AK80"/>
  <c r="AK84"/>
  <c r="AJ84"/>
  <c r="AJ80"/>
  <c r="AK86"/>
  <c r="AK77"/>
  <c r="AJ90"/>
  <c r="AN92"/>
  <c r="AN95"/>
  <c r="AN123"/>
  <c r="AN82"/>
  <c r="AK82"/>
  <c r="AJ82"/>
  <c r="AK52"/>
  <c r="AN52"/>
  <c r="AK121"/>
  <c r="AN121"/>
  <c r="AK120"/>
  <c r="AN120"/>
  <c r="AJ101"/>
  <c r="AN101"/>
  <c r="AN103"/>
  <c r="AK98"/>
  <c r="AK104"/>
  <c r="AJ91"/>
  <c r="AK91"/>
  <c r="AJ88"/>
  <c r="AK88"/>
  <c r="AK87"/>
  <c r="AN87"/>
  <c r="AK85"/>
  <c r="AN85"/>
  <c r="AK83"/>
  <c r="AN83"/>
  <c r="AJ78"/>
  <c r="AK78"/>
  <c r="AK68"/>
  <c r="AN68"/>
  <c r="AN69"/>
  <c r="AK66"/>
  <c r="AK56"/>
  <c r="AK55"/>
  <c r="AN53"/>
  <c r="AN51"/>
  <c r="AN42"/>
  <c r="AN55"/>
  <c r="AN56"/>
  <c r="AK53"/>
  <c r="AN102"/>
  <c r="AN88"/>
  <c r="AL93"/>
  <c r="AK51"/>
  <c r="AK45"/>
  <c r="AK43"/>
  <c r="AN43"/>
  <c r="AK59"/>
  <c r="AN59"/>
  <c r="AK122"/>
  <c r="AC121"/>
  <c r="AJ120"/>
  <c r="AK117"/>
  <c r="AN117"/>
  <c r="AN91"/>
  <c r="AA93"/>
  <c r="AJ86"/>
  <c r="AK79"/>
  <c r="AJ79"/>
  <c r="AM93"/>
  <c r="AN93"/>
  <c r="AN79"/>
  <c r="AN78"/>
  <c r="AL76"/>
  <c r="AN45"/>
  <c r="AC42"/>
  <c r="AK42"/>
  <c r="AM76"/>
  <c r="AN76" s="1"/>
  <c r="AM34"/>
  <c r="AL34"/>
  <c r="AA34"/>
  <c r="AM33"/>
  <c r="AN33"/>
  <c r="AL33"/>
  <c r="AK33"/>
  <c r="AA33"/>
  <c r="AM32"/>
  <c r="AL32"/>
  <c r="AA32"/>
  <c r="AM31"/>
  <c r="AN31"/>
  <c r="AL31"/>
  <c r="AA31"/>
  <c r="AM30"/>
  <c r="AL30"/>
  <c r="AA30"/>
  <c r="AC30"/>
  <c r="AM29"/>
  <c r="AN29"/>
  <c r="AL29"/>
  <c r="AA29"/>
  <c r="AM28"/>
  <c r="AL28"/>
  <c r="AA28"/>
  <c r="AM26"/>
  <c r="AL26"/>
  <c r="AM25"/>
  <c r="AL25"/>
  <c r="AM24"/>
  <c r="AN24"/>
  <c r="AL24"/>
  <c r="AA24"/>
  <c r="AC24"/>
  <c r="AM23"/>
  <c r="AN23"/>
  <c r="AL23"/>
  <c r="AA23"/>
  <c r="AC23"/>
  <c r="AM22"/>
  <c r="AN22"/>
  <c r="AL22"/>
  <c r="AA22"/>
  <c r="AC22"/>
  <c r="AM20"/>
  <c r="AN20"/>
  <c r="AL20"/>
  <c r="AA20"/>
  <c r="AC20"/>
  <c r="AM19"/>
  <c r="AL19"/>
  <c r="AA19"/>
  <c r="AC19"/>
  <c r="AM18"/>
  <c r="AN18"/>
  <c r="AL18"/>
  <c r="AA18"/>
  <c r="AC18"/>
  <c r="Y15"/>
  <c r="W15"/>
  <c r="U15"/>
  <c r="S15"/>
  <c r="Q15"/>
  <c r="AS15"/>
  <c r="O15"/>
  <c r="M15"/>
  <c r="K15"/>
  <c r="I15"/>
  <c r="G15"/>
  <c r="E15"/>
  <c r="C15"/>
  <c r="AM14"/>
  <c r="AN14"/>
  <c r="AL14"/>
  <c r="AA14"/>
  <c r="AM13"/>
  <c r="AN13"/>
  <c r="AL13"/>
  <c r="AA13"/>
  <c r="Q12"/>
  <c r="O12"/>
  <c r="M12"/>
  <c r="K12"/>
  <c r="I12"/>
  <c r="G12"/>
  <c r="E12"/>
  <c r="C12"/>
  <c r="AM11"/>
  <c r="AL11"/>
  <c r="AA11"/>
  <c r="AC11"/>
  <c r="R11"/>
  <c r="P11"/>
  <c r="N11"/>
  <c r="L11"/>
  <c r="J11"/>
  <c r="H11"/>
  <c r="F11"/>
  <c r="AL10"/>
  <c r="AA10"/>
  <c r="AC10"/>
  <c r="R10"/>
  <c r="P10"/>
  <c r="N10"/>
  <c r="L10"/>
  <c r="J10"/>
  <c r="H10"/>
  <c r="F10"/>
  <c r="AM9"/>
  <c r="AL9"/>
  <c r="AA9"/>
  <c r="AM8"/>
  <c r="AL8"/>
  <c r="AA8"/>
  <c r="AC8"/>
  <c r="AM7"/>
  <c r="AN7"/>
  <c r="AL7"/>
  <c r="R128"/>
  <c r="R125"/>
  <c r="R119"/>
  <c r="R120"/>
  <c r="R116"/>
  <c r="R26"/>
  <c r="R121"/>
  <c r="R127"/>
  <c r="R122"/>
  <c r="R118"/>
  <c r="R75"/>
  <c r="R71"/>
  <c r="R68"/>
  <c r="R69"/>
  <c r="R74"/>
  <c r="R70"/>
  <c r="R66"/>
  <c r="R67"/>
  <c r="R72"/>
  <c r="R73"/>
  <c r="P127"/>
  <c r="P122"/>
  <c r="P120"/>
  <c r="P118"/>
  <c r="P116"/>
  <c r="P26"/>
  <c r="P128"/>
  <c r="P125"/>
  <c r="P121"/>
  <c r="P119"/>
  <c r="P75"/>
  <c r="P73"/>
  <c r="P71"/>
  <c r="P69"/>
  <c r="P67"/>
  <c r="P74"/>
  <c r="P72"/>
  <c r="P70"/>
  <c r="P68"/>
  <c r="P66"/>
  <c r="N127"/>
  <c r="N122"/>
  <c r="N118"/>
  <c r="N26"/>
  <c r="N121"/>
  <c r="N120"/>
  <c r="N116"/>
  <c r="N128"/>
  <c r="N125"/>
  <c r="N119"/>
  <c r="N74"/>
  <c r="N70"/>
  <c r="N66"/>
  <c r="N73"/>
  <c r="N69"/>
  <c r="N72"/>
  <c r="N68"/>
  <c r="N75"/>
  <c r="N71"/>
  <c r="N67"/>
  <c r="L26"/>
  <c r="L128"/>
  <c r="L127"/>
  <c r="L125"/>
  <c r="L122"/>
  <c r="L121"/>
  <c r="L120"/>
  <c r="L119"/>
  <c r="L118"/>
  <c r="L116"/>
  <c r="L75"/>
  <c r="L74"/>
  <c r="L73"/>
  <c r="L72"/>
  <c r="L71"/>
  <c r="L70"/>
  <c r="L69"/>
  <c r="L68"/>
  <c r="L67"/>
  <c r="L66"/>
  <c r="J26"/>
  <c r="J121"/>
  <c r="J127"/>
  <c r="J122"/>
  <c r="J118"/>
  <c r="J128"/>
  <c r="J125"/>
  <c r="J119"/>
  <c r="J120"/>
  <c r="J116"/>
  <c r="J73"/>
  <c r="J69"/>
  <c r="J70"/>
  <c r="J66"/>
  <c r="J75"/>
  <c r="J71"/>
  <c r="J67"/>
  <c r="J72"/>
  <c r="J68"/>
  <c r="J74"/>
  <c r="H26"/>
  <c r="H128"/>
  <c r="H125"/>
  <c r="H121"/>
  <c r="H119"/>
  <c r="H127"/>
  <c r="H122"/>
  <c r="H120"/>
  <c r="H118"/>
  <c r="H116"/>
  <c r="H74"/>
  <c r="H72"/>
  <c r="H70"/>
  <c r="H68"/>
  <c r="H66"/>
  <c r="H75"/>
  <c r="H73"/>
  <c r="H71"/>
  <c r="H69"/>
  <c r="H67"/>
  <c r="F120"/>
  <c r="F116"/>
  <c r="F128"/>
  <c r="F125"/>
  <c r="F119"/>
  <c r="F127"/>
  <c r="F122"/>
  <c r="F118"/>
  <c r="F26"/>
  <c r="F121"/>
  <c r="F74"/>
  <c r="F70"/>
  <c r="F66"/>
  <c r="F73"/>
  <c r="F69"/>
  <c r="F72"/>
  <c r="F68"/>
  <c r="F75"/>
  <c r="F71"/>
  <c r="F67"/>
  <c r="D26"/>
  <c r="D128"/>
  <c r="D127"/>
  <c r="D125"/>
  <c r="D122"/>
  <c r="D121"/>
  <c r="D120"/>
  <c r="D119"/>
  <c r="D118"/>
  <c r="D116"/>
  <c r="D75"/>
  <c r="D74"/>
  <c r="D73"/>
  <c r="D72"/>
  <c r="D71"/>
  <c r="D70"/>
  <c r="D69"/>
  <c r="D68"/>
  <c r="D67"/>
  <c r="D66"/>
  <c r="AJ119"/>
  <c r="P17"/>
  <c r="L17"/>
  <c r="J17"/>
  <c r="F17"/>
  <c r="D17"/>
  <c r="H17"/>
  <c r="AK28"/>
  <c r="AK31"/>
  <c r="N83"/>
  <c r="N17"/>
  <c r="AK41"/>
  <c r="AA16" i="28"/>
  <c r="R55" i="24"/>
  <c r="R17"/>
  <c r="R46"/>
  <c r="R115"/>
  <c r="P55"/>
  <c r="P46"/>
  <c r="P115"/>
  <c r="N55"/>
  <c r="N46"/>
  <c r="N115"/>
  <c r="L55"/>
  <c r="L46"/>
  <c r="L115"/>
  <c r="J55"/>
  <c r="J46"/>
  <c r="J115"/>
  <c r="H55"/>
  <c r="H46"/>
  <c r="H115"/>
  <c r="F55"/>
  <c r="F46"/>
  <c r="F115"/>
  <c r="D55"/>
  <c r="D46"/>
  <c r="D115"/>
  <c r="AK14"/>
  <c r="AK32"/>
  <c r="AK18"/>
  <c r="AK24"/>
  <c r="AC31"/>
  <c r="AJ31"/>
  <c r="AK34"/>
  <c r="AK29"/>
  <c r="AJ11"/>
  <c r="AA15"/>
  <c r="AC14"/>
  <c r="AJ14"/>
  <c r="AL15"/>
  <c r="AK15"/>
  <c r="AC34"/>
  <c r="AJ18"/>
  <c r="AK22"/>
  <c r="AM115"/>
  <c r="AN115"/>
  <c r="AS17"/>
  <c r="AK10"/>
  <c r="N93"/>
  <c r="D76"/>
  <c r="H76"/>
  <c r="L76"/>
  <c r="P76"/>
  <c r="P19"/>
  <c r="N23"/>
  <c r="H28"/>
  <c r="P28"/>
  <c r="H30"/>
  <c r="P32"/>
  <c r="H33"/>
  <c r="P33"/>
  <c r="F32"/>
  <c r="F76"/>
  <c r="J76"/>
  <c r="N32"/>
  <c r="N42"/>
  <c r="N44"/>
  <c r="N43"/>
  <c r="N45"/>
  <c r="N76"/>
  <c r="AS12"/>
  <c r="R76"/>
  <c r="O16"/>
  <c r="J19"/>
  <c r="N28"/>
  <c r="N29"/>
  <c r="P30"/>
  <c r="N31"/>
  <c r="N33"/>
  <c r="AK105"/>
  <c r="AJ105"/>
  <c r="J30"/>
  <c r="J32"/>
  <c r="H19"/>
  <c r="H32"/>
  <c r="F28"/>
  <c r="F29"/>
  <c r="F31"/>
  <c r="F41"/>
  <c r="F23"/>
  <c r="F33"/>
  <c r="E16"/>
  <c r="AK26"/>
  <c r="AL115"/>
  <c r="AC15"/>
  <c r="AJ15"/>
  <c r="AN11"/>
  <c r="D150"/>
  <c r="D143"/>
  <c r="D139"/>
  <c r="D142"/>
  <c r="D141"/>
  <c r="D140"/>
  <c r="AN139"/>
  <c r="D138"/>
  <c r="D144"/>
  <c r="D137"/>
  <c r="D136"/>
  <c r="AN127"/>
  <c r="D87"/>
  <c r="AN86"/>
  <c r="D83"/>
  <c r="D78"/>
  <c r="AN77"/>
  <c r="D65"/>
  <c r="AN64"/>
  <c r="D56"/>
  <c r="D54"/>
  <c r="D47"/>
  <c r="AN46"/>
  <c r="D44"/>
  <c r="D39"/>
  <c r="D38"/>
  <c r="AN119"/>
  <c r="AN96"/>
  <c r="AN94"/>
  <c r="D86"/>
  <c r="D82"/>
  <c r="AN81"/>
  <c r="D81"/>
  <c r="AN80"/>
  <c r="D77"/>
  <c r="AN54"/>
  <c r="D53"/>
  <c r="D50"/>
  <c r="D48"/>
  <c r="AN47"/>
  <c r="D45"/>
  <c r="AN44"/>
  <c r="D43"/>
  <c r="D41"/>
  <c r="D40"/>
  <c r="AN99"/>
  <c r="D80"/>
  <c r="D63"/>
  <c r="AN62"/>
  <c r="D58"/>
  <c r="AN57"/>
  <c r="D49"/>
  <c r="D91"/>
  <c r="AN90"/>
  <c r="AN98"/>
  <c r="AN66"/>
  <c r="AN124"/>
  <c r="AN116"/>
  <c r="D90"/>
  <c r="AN89"/>
  <c r="D88"/>
  <c r="D84"/>
  <c r="D64"/>
  <c r="AN63"/>
  <c r="D51"/>
  <c r="AN50"/>
  <c r="D89"/>
  <c r="D85"/>
  <c r="AN84"/>
  <c r="AN67"/>
  <c r="AN65"/>
  <c r="D61"/>
  <c r="AN60"/>
  <c r="D52"/>
  <c r="D42"/>
  <c r="AN41"/>
  <c r="D92"/>
  <c r="D79"/>
  <c r="D62"/>
  <c r="AN61"/>
  <c r="D60"/>
  <c r="D59"/>
  <c r="AN58"/>
  <c r="D57"/>
  <c r="H150"/>
  <c r="H142"/>
  <c r="H141"/>
  <c r="H140"/>
  <c r="H143"/>
  <c r="H139"/>
  <c r="H138"/>
  <c r="H144"/>
  <c r="H137"/>
  <c r="H136"/>
  <c r="H89"/>
  <c r="H85"/>
  <c r="H80"/>
  <c r="H60"/>
  <c r="H58"/>
  <c r="H52"/>
  <c r="H42"/>
  <c r="H92"/>
  <c r="H91"/>
  <c r="H90"/>
  <c r="H88"/>
  <c r="H84"/>
  <c r="H79"/>
  <c r="H64"/>
  <c r="H63"/>
  <c r="H62"/>
  <c r="H61"/>
  <c r="H57"/>
  <c r="H51"/>
  <c r="H49"/>
  <c r="H41"/>
  <c r="H81"/>
  <c r="H78"/>
  <c r="H56"/>
  <c r="H87"/>
  <c r="H86"/>
  <c r="H83"/>
  <c r="H82"/>
  <c r="H54"/>
  <c r="H53"/>
  <c r="H48"/>
  <c r="H44"/>
  <c r="H43"/>
  <c r="H39"/>
  <c r="H38"/>
  <c r="H65"/>
  <c r="H50"/>
  <c r="H40"/>
  <c r="H77"/>
  <c r="H45"/>
  <c r="H47"/>
  <c r="P150"/>
  <c r="P142"/>
  <c r="P141"/>
  <c r="P140"/>
  <c r="P138"/>
  <c r="P144"/>
  <c r="P143"/>
  <c r="P139"/>
  <c r="P137"/>
  <c r="P136"/>
  <c r="P89"/>
  <c r="P85"/>
  <c r="P80"/>
  <c r="P60"/>
  <c r="P58"/>
  <c r="P52"/>
  <c r="P42"/>
  <c r="P92"/>
  <c r="P91"/>
  <c r="P90"/>
  <c r="P88"/>
  <c r="P84"/>
  <c r="P79"/>
  <c r="P64"/>
  <c r="P63"/>
  <c r="P62"/>
  <c r="P61"/>
  <c r="P57"/>
  <c r="P51"/>
  <c r="P49"/>
  <c r="P41"/>
  <c r="P65"/>
  <c r="P50"/>
  <c r="P40"/>
  <c r="P87"/>
  <c r="P86"/>
  <c r="P83"/>
  <c r="P54"/>
  <c r="P93"/>
  <c r="P81"/>
  <c r="P78"/>
  <c r="P77"/>
  <c r="P56"/>
  <c r="P47"/>
  <c r="P45"/>
  <c r="P82"/>
  <c r="P53"/>
  <c r="P48"/>
  <c r="P39"/>
  <c r="P43"/>
  <c r="P38"/>
  <c r="P44"/>
  <c r="L22"/>
  <c r="D24"/>
  <c r="AK30"/>
  <c r="D34"/>
  <c r="L34"/>
  <c r="AK20"/>
  <c r="D23"/>
  <c r="L29"/>
  <c r="AJ30"/>
  <c r="D31"/>
  <c r="AN30"/>
  <c r="L31"/>
  <c r="AK11"/>
  <c r="M16"/>
  <c r="F19"/>
  <c r="N19"/>
  <c r="AJ20"/>
  <c r="H22"/>
  <c r="P22"/>
  <c r="AJ22"/>
  <c r="J23"/>
  <c r="H24"/>
  <c r="P24"/>
  <c r="AJ24"/>
  <c r="D28"/>
  <c r="L28"/>
  <c r="J29"/>
  <c r="F30"/>
  <c r="N30"/>
  <c r="J31"/>
  <c r="D33"/>
  <c r="AN32"/>
  <c r="L33"/>
  <c r="H34"/>
  <c r="P34"/>
  <c r="AJ34"/>
  <c r="AK97"/>
  <c r="L140"/>
  <c r="L143"/>
  <c r="L139"/>
  <c r="L150"/>
  <c r="L142"/>
  <c r="L141"/>
  <c r="L144"/>
  <c r="L138"/>
  <c r="L137"/>
  <c r="L136"/>
  <c r="L87"/>
  <c r="L83"/>
  <c r="L78"/>
  <c r="L65"/>
  <c r="L56"/>
  <c r="L54"/>
  <c r="L47"/>
  <c r="L44"/>
  <c r="L39"/>
  <c r="L40"/>
  <c r="L86"/>
  <c r="L82"/>
  <c r="L81"/>
  <c r="L77"/>
  <c r="L53"/>
  <c r="L50"/>
  <c r="L48"/>
  <c r="L45"/>
  <c r="L43"/>
  <c r="L41"/>
  <c r="L38"/>
  <c r="L91"/>
  <c r="L89"/>
  <c r="L85"/>
  <c r="L61"/>
  <c r="L52"/>
  <c r="L42"/>
  <c r="L63"/>
  <c r="L49"/>
  <c r="L90"/>
  <c r="L88"/>
  <c r="L51"/>
  <c r="L92"/>
  <c r="L79"/>
  <c r="L62"/>
  <c r="L60"/>
  <c r="L57"/>
  <c r="L93"/>
  <c r="L80"/>
  <c r="L58"/>
  <c r="L84"/>
  <c r="L64"/>
  <c r="J143"/>
  <c r="J139"/>
  <c r="J150"/>
  <c r="J142"/>
  <c r="J141"/>
  <c r="J140"/>
  <c r="J144"/>
  <c r="J138"/>
  <c r="J137"/>
  <c r="J136"/>
  <c r="J86"/>
  <c r="J82"/>
  <c r="J81"/>
  <c r="J77"/>
  <c r="J53"/>
  <c r="J50"/>
  <c r="J48"/>
  <c r="J45"/>
  <c r="J43"/>
  <c r="J40"/>
  <c r="J38"/>
  <c r="J89"/>
  <c r="J85"/>
  <c r="J80"/>
  <c r="J60"/>
  <c r="J58"/>
  <c r="J52"/>
  <c r="J42"/>
  <c r="J92"/>
  <c r="J79"/>
  <c r="J78"/>
  <c r="J62"/>
  <c r="J57"/>
  <c r="J56"/>
  <c r="J47"/>
  <c r="J87"/>
  <c r="J84"/>
  <c r="J64"/>
  <c r="J54"/>
  <c r="J44"/>
  <c r="J39"/>
  <c r="J91"/>
  <c r="J61"/>
  <c r="J63"/>
  <c r="J59"/>
  <c r="J49"/>
  <c r="J90"/>
  <c r="J88"/>
  <c r="J83"/>
  <c r="J51"/>
  <c r="J65"/>
  <c r="J41"/>
  <c r="F144"/>
  <c r="F143"/>
  <c r="F139"/>
  <c r="F150"/>
  <c r="F142"/>
  <c r="F141"/>
  <c r="F140"/>
  <c r="F138"/>
  <c r="F137"/>
  <c r="F136"/>
  <c r="F92"/>
  <c r="F91"/>
  <c r="F90"/>
  <c r="F88"/>
  <c r="F84"/>
  <c r="F79"/>
  <c r="F64"/>
  <c r="F63"/>
  <c r="F62"/>
  <c r="F61"/>
  <c r="F59"/>
  <c r="F57"/>
  <c r="F51"/>
  <c r="F49"/>
  <c r="F87"/>
  <c r="F83"/>
  <c r="F78"/>
  <c r="F65"/>
  <c r="F56"/>
  <c r="F54"/>
  <c r="F47"/>
  <c r="F44"/>
  <c r="F39"/>
  <c r="F86"/>
  <c r="F82"/>
  <c r="F60"/>
  <c r="F53"/>
  <c r="F48"/>
  <c r="F43"/>
  <c r="F38"/>
  <c r="F81"/>
  <c r="F77"/>
  <c r="F89"/>
  <c r="F85"/>
  <c r="F80"/>
  <c r="F58"/>
  <c r="F50"/>
  <c r="F40"/>
  <c r="F93"/>
  <c r="F45"/>
  <c r="F52"/>
  <c r="F42"/>
  <c r="N139"/>
  <c r="N142"/>
  <c r="N141"/>
  <c r="N138"/>
  <c r="N143"/>
  <c r="N150"/>
  <c r="N140"/>
  <c r="N144"/>
  <c r="N137"/>
  <c r="N136"/>
  <c r="N92"/>
  <c r="N91"/>
  <c r="N90"/>
  <c r="N88"/>
  <c r="N84"/>
  <c r="N79"/>
  <c r="N64"/>
  <c r="N63"/>
  <c r="N62"/>
  <c r="N61"/>
  <c r="N57"/>
  <c r="N51"/>
  <c r="N49"/>
  <c r="N39"/>
  <c r="N87"/>
  <c r="N78"/>
  <c r="N65"/>
  <c r="N56"/>
  <c r="N54"/>
  <c r="N47"/>
  <c r="N81"/>
  <c r="N77"/>
  <c r="N82"/>
  <c r="N53"/>
  <c r="N41"/>
  <c r="N38"/>
  <c r="N89"/>
  <c r="N85"/>
  <c r="N52"/>
  <c r="N86"/>
  <c r="N60"/>
  <c r="N48"/>
  <c r="N80"/>
  <c r="N58"/>
  <c r="N50"/>
  <c r="N40"/>
  <c r="D22"/>
  <c r="L24"/>
  <c r="AK13"/>
  <c r="I16"/>
  <c r="J22"/>
  <c r="L23"/>
  <c r="J24"/>
  <c r="D29"/>
  <c r="AN28"/>
  <c r="J34"/>
  <c r="J93"/>
  <c r="AC13"/>
  <c r="AJ13"/>
  <c r="C16"/>
  <c r="G16"/>
  <c r="K16"/>
  <c r="D19"/>
  <c r="L19"/>
  <c r="F22"/>
  <c r="N22"/>
  <c r="H23"/>
  <c r="P23"/>
  <c r="AK23"/>
  <c r="AJ23"/>
  <c r="F24"/>
  <c r="N24"/>
  <c r="J28"/>
  <c r="H29"/>
  <c r="P29"/>
  <c r="D30"/>
  <c r="L30"/>
  <c r="H31"/>
  <c r="P31"/>
  <c r="D32"/>
  <c r="L32"/>
  <c r="J33"/>
  <c r="F34"/>
  <c r="N34"/>
  <c r="D93"/>
  <c r="H93"/>
  <c r="AN19"/>
  <c r="AK93"/>
  <c r="AC9"/>
  <c r="AJ8"/>
  <c r="AK9"/>
  <c r="R31"/>
  <c r="AK25"/>
  <c r="AN25"/>
  <c r="AN9"/>
  <c r="AK8"/>
  <c r="AN8"/>
  <c r="Q16"/>
  <c r="R30"/>
  <c r="R28"/>
  <c r="R19"/>
  <c r="R138"/>
  <c r="R144"/>
  <c r="R142"/>
  <c r="R141"/>
  <c r="R140"/>
  <c r="R139"/>
  <c r="R150"/>
  <c r="R143"/>
  <c r="R136"/>
  <c r="R137"/>
  <c r="R93"/>
  <c r="R91"/>
  <c r="R87"/>
  <c r="R83"/>
  <c r="R82"/>
  <c r="R80"/>
  <c r="R77"/>
  <c r="R63"/>
  <c r="R62"/>
  <c r="R50"/>
  <c r="R45"/>
  <c r="R44"/>
  <c r="R43"/>
  <c r="R42"/>
  <c r="R38"/>
  <c r="R88"/>
  <c r="R85"/>
  <c r="R84"/>
  <c r="R81"/>
  <c r="R78"/>
  <c r="R54"/>
  <c r="R53"/>
  <c r="R51"/>
  <c r="R86"/>
  <c r="R48"/>
  <c r="R39"/>
  <c r="R90"/>
  <c r="R89"/>
  <c r="R79"/>
  <c r="R65"/>
  <c r="R64"/>
  <c r="R49"/>
  <c r="R41"/>
  <c r="R61"/>
  <c r="R60"/>
  <c r="R52"/>
  <c r="R92"/>
  <c r="R58"/>
  <c r="R57"/>
  <c r="R56"/>
  <c r="R47"/>
  <c r="R40"/>
  <c r="R22"/>
  <c r="R29"/>
  <c r="R34"/>
  <c r="R23"/>
  <c r="R24"/>
  <c r="R32"/>
  <c r="R33"/>
  <c r="AK19"/>
  <c r="AJ121"/>
  <c r="AC93"/>
  <c r="AJ93"/>
  <c r="AK76"/>
  <c r="AJ42"/>
  <c r="AJ19"/>
  <c r="AA7"/>
  <c r="AK7"/>
  <c r="AM6"/>
  <c r="AN6"/>
  <c r="AL6"/>
  <c r="AA6"/>
  <c r="AC6"/>
  <c r="AL5"/>
  <c r="AH5"/>
  <c r="AI6"/>
  <c r="S164" i="23"/>
  <c r="Q164"/>
  <c r="O164"/>
  <c r="K164"/>
  <c r="G164"/>
  <c r="E164"/>
  <c r="C164"/>
  <c r="Y162"/>
  <c r="W162"/>
  <c r="U162"/>
  <c r="S162"/>
  <c r="Q162"/>
  <c r="O162"/>
  <c r="K162"/>
  <c r="G162"/>
  <c r="E162"/>
  <c r="C162"/>
  <c r="AL151"/>
  <c r="AK151"/>
  <c r="AJ151"/>
  <c r="AC151"/>
  <c r="AL150"/>
  <c r="AA150"/>
  <c r="AL149"/>
  <c r="AK149"/>
  <c r="AC149"/>
  <c r="AM147"/>
  <c r="AL147"/>
  <c r="AK147"/>
  <c r="AC147"/>
  <c r="S144"/>
  <c r="Q144"/>
  <c r="O144"/>
  <c r="O6" i="28" s="1"/>
  <c r="M144" i="23"/>
  <c r="M6" i="28" s="1"/>
  <c r="K144" i="23"/>
  <c r="K6" i="28" s="1"/>
  <c r="I144" i="23"/>
  <c r="I6" i="28" s="1"/>
  <c r="G144" i="23"/>
  <c r="E144"/>
  <c r="C144"/>
  <c r="AM143"/>
  <c r="AL143"/>
  <c r="AH143"/>
  <c r="AA143"/>
  <c r="Y164"/>
  <c r="U164"/>
  <c r="AL141"/>
  <c r="AM140"/>
  <c r="AL140"/>
  <c r="AM139"/>
  <c r="AL139"/>
  <c r="AC139"/>
  <c r="AM138"/>
  <c r="AL138"/>
  <c r="AC138"/>
  <c r="AM137"/>
  <c r="AL137"/>
  <c r="AC137"/>
  <c r="AM136"/>
  <c r="AL136"/>
  <c r="AA136"/>
  <c r="AC136"/>
  <c r="AJ136"/>
  <c r="AM134"/>
  <c r="AL134"/>
  <c r="AK134"/>
  <c r="AC134"/>
  <c r="AM133"/>
  <c r="AL133"/>
  <c r="AA133"/>
  <c r="AM132"/>
  <c r="AL132"/>
  <c r="AK132"/>
  <c r="AC132"/>
  <c r="AM130"/>
  <c r="AL130"/>
  <c r="AK130"/>
  <c r="AC130"/>
  <c r="AH129"/>
  <c r="AM128"/>
  <c r="AL128"/>
  <c r="AA128"/>
  <c r="AM127"/>
  <c r="AL127"/>
  <c r="AA127"/>
  <c r="AM125"/>
  <c r="AL125"/>
  <c r="AA125"/>
  <c r="AM124"/>
  <c r="AL124"/>
  <c r="AA124"/>
  <c r="AM123"/>
  <c r="AL123"/>
  <c r="AA123"/>
  <c r="AM122"/>
  <c r="AL122"/>
  <c r="AA122"/>
  <c r="AM121"/>
  <c r="AL121"/>
  <c r="AA121"/>
  <c r="AC121"/>
  <c r="AM120"/>
  <c r="AL120"/>
  <c r="AA120"/>
  <c r="AM119"/>
  <c r="AL119"/>
  <c r="AA119"/>
  <c r="AL117"/>
  <c r="AA117"/>
  <c r="AM116"/>
  <c r="AL116"/>
  <c r="AA116"/>
  <c r="AK116"/>
  <c r="AH115"/>
  <c r="AQ115"/>
  <c r="AM107"/>
  <c r="AL107"/>
  <c r="AK107"/>
  <c r="AJ107"/>
  <c r="AM105"/>
  <c r="AL105"/>
  <c r="AM104"/>
  <c r="AL104"/>
  <c r="AM103"/>
  <c r="AL103"/>
  <c r="AM102"/>
  <c r="AL102"/>
  <c r="AM101"/>
  <c r="AL101"/>
  <c r="AM99"/>
  <c r="AL99"/>
  <c r="AK99"/>
  <c r="AM98"/>
  <c r="AL98"/>
  <c r="AM97"/>
  <c r="AL97"/>
  <c r="AM96"/>
  <c r="AL96"/>
  <c r="AM95"/>
  <c r="AL95"/>
  <c r="AK95"/>
  <c r="AM94"/>
  <c r="AL94"/>
  <c r="AK94"/>
  <c r="AH93"/>
  <c r="Y93"/>
  <c r="W93"/>
  <c r="U93"/>
  <c r="S93"/>
  <c r="Q93"/>
  <c r="O93"/>
  <c r="M93"/>
  <c r="K93"/>
  <c r="I93"/>
  <c r="G93"/>
  <c r="E93"/>
  <c r="C93"/>
  <c r="AM92"/>
  <c r="AL92"/>
  <c r="AA92"/>
  <c r="AM91"/>
  <c r="AL91"/>
  <c r="AA91"/>
  <c r="AM90"/>
  <c r="AL90"/>
  <c r="AA90"/>
  <c r="AM89"/>
  <c r="AL89"/>
  <c r="AA89"/>
  <c r="AC89"/>
  <c r="AJ89"/>
  <c r="AM88"/>
  <c r="AL88"/>
  <c r="AA88"/>
  <c r="AM87"/>
  <c r="AL87"/>
  <c r="AA87"/>
  <c r="AC87"/>
  <c r="AJ87"/>
  <c r="AM86"/>
  <c r="AL86"/>
  <c r="AA86"/>
  <c r="AM85"/>
  <c r="AL85"/>
  <c r="AA85"/>
  <c r="AM84"/>
  <c r="AL84"/>
  <c r="AA84"/>
  <c r="AM83"/>
  <c r="AL83"/>
  <c r="AA83"/>
  <c r="AC83"/>
  <c r="AM82"/>
  <c r="AL82"/>
  <c r="AA82"/>
  <c r="AM81"/>
  <c r="AL81"/>
  <c r="AA81"/>
  <c r="AM80"/>
  <c r="AL80"/>
  <c r="AA80"/>
  <c r="AM79"/>
  <c r="AL79"/>
  <c r="AA79"/>
  <c r="AC79"/>
  <c r="AM78"/>
  <c r="AL78"/>
  <c r="AA78"/>
  <c r="AM77"/>
  <c r="AL77"/>
  <c r="AA77"/>
  <c r="AC77"/>
  <c r="AH76"/>
  <c r="AQ76"/>
  <c r="AM69"/>
  <c r="AL69"/>
  <c r="K21" i="24"/>
  <c r="L21"/>
  <c r="O21"/>
  <c r="P21" s="1"/>
  <c r="Q126"/>
  <c r="R126"/>
  <c r="R27"/>
  <c r="P27"/>
  <c r="O126"/>
  <c r="P126"/>
  <c r="M11" i="28"/>
  <c r="N27" i="24"/>
  <c r="M126"/>
  <c r="N126"/>
  <c r="K11" i="28"/>
  <c r="L27" i="24"/>
  <c r="K126"/>
  <c r="L126"/>
  <c r="I11" i="28"/>
  <c r="J27" i="24"/>
  <c r="I126"/>
  <c r="J126"/>
  <c r="H27"/>
  <c r="G126"/>
  <c r="H126"/>
  <c r="E11" i="28"/>
  <c r="E126" i="24"/>
  <c r="F126"/>
  <c r="F27"/>
  <c r="C11" i="28"/>
  <c r="D27" i="24"/>
  <c r="C126"/>
  <c r="D126"/>
  <c r="M21"/>
  <c r="N21"/>
  <c r="Y7" i="28"/>
  <c r="Y23"/>
  <c r="Y93" i="10"/>
  <c r="W7" i="28"/>
  <c r="W23"/>
  <c r="W93" i="10"/>
  <c r="U7" i="28"/>
  <c r="U23"/>
  <c r="U93" i="10"/>
  <c r="K93"/>
  <c r="K7" i="28"/>
  <c r="K23"/>
  <c r="I93" i="10"/>
  <c r="I7" i="28"/>
  <c r="I23"/>
  <c r="G93" i="10"/>
  <c r="G7" i="28"/>
  <c r="G23"/>
  <c r="E93" i="10"/>
  <c r="E7" i="28"/>
  <c r="E23"/>
  <c r="C93" i="10"/>
  <c r="C7" i="28"/>
  <c r="C23"/>
  <c r="G144" i="10"/>
  <c r="G6" i="28"/>
  <c r="E144" i="10"/>
  <c r="E6" i="28"/>
  <c r="C144" i="10"/>
  <c r="C6" i="28"/>
  <c r="S144" i="10"/>
  <c r="S6" i="28"/>
  <c r="S7"/>
  <c r="S23"/>
  <c r="S93" i="10"/>
  <c r="Q144"/>
  <c r="Q6" i="28"/>
  <c r="AQ93" i="23"/>
  <c r="Q7" i="28"/>
  <c r="Q23"/>
  <c r="Q93" i="10"/>
  <c r="G11" i="28"/>
  <c r="Q11"/>
  <c r="O11"/>
  <c r="M93" i="10"/>
  <c r="M7" i="28"/>
  <c r="M23"/>
  <c r="O7"/>
  <c r="O93" i="10"/>
  <c r="M35" i="24"/>
  <c r="N35" s="1"/>
  <c r="I21"/>
  <c r="J21"/>
  <c r="G21"/>
  <c r="H21" s="1"/>
  <c r="E21"/>
  <c r="F21"/>
  <c r="O166" i="23"/>
  <c r="O144" i="10"/>
  <c r="AK150" i="23"/>
  <c r="AK133"/>
  <c r="M166"/>
  <c r="M144" i="10"/>
  <c r="K166" i="23"/>
  <c r="K144" i="10"/>
  <c r="I166" i="23"/>
  <c r="I144" i="10"/>
  <c r="AK141" i="23"/>
  <c r="C21" i="24"/>
  <c r="D21" s="1"/>
  <c r="G129"/>
  <c r="G145" s="1"/>
  <c r="M129"/>
  <c r="AJ6"/>
  <c r="AN125"/>
  <c r="AJ130" i="23"/>
  <c r="AK140"/>
  <c r="AK124"/>
  <c r="AJ132"/>
  <c r="AK136"/>
  <c r="AK139"/>
  <c r="AC140"/>
  <c r="AJ140"/>
  <c r="AK143"/>
  <c r="AC116"/>
  <c r="AJ116"/>
  <c r="AC150"/>
  <c r="AJ150"/>
  <c r="AK101"/>
  <c r="K157" i="24"/>
  <c r="F16"/>
  <c r="P16"/>
  <c r="O157"/>
  <c r="Q157"/>
  <c r="AS16"/>
  <c r="AK96" i="23"/>
  <c r="AK89"/>
  <c r="AK122"/>
  <c r="AK88"/>
  <c r="AK115" i="24"/>
  <c r="AK128" i="23"/>
  <c r="AK104"/>
  <c r="AK78"/>
  <c r="AK69"/>
  <c r="AK80"/>
  <c r="AK84"/>
  <c r="AC92"/>
  <c r="AJ92"/>
  <c r="AJ94"/>
  <c r="AJ95"/>
  <c r="AJ96"/>
  <c r="AK98"/>
  <c r="AK92"/>
  <c r="AJ98"/>
  <c r="AK103"/>
  <c r="AJ103"/>
  <c r="AK119"/>
  <c r="AK123"/>
  <c r="AC124"/>
  <c r="AJ124"/>
  <c r="AK125"/>
  <c r="AC128"/>
  <c r="AJ128"/>
  <c r="AK137"/>
  <c r="AJ139"/>
  <c r="AA164"/>
  <c r="AL142"/>
  <c r="U144"/>
  <c r="AC162"/>
  <c r="AA162"/>
  <c r="W164"/>
  <c r="G166"/>
  <c r="E166"/>
  <c r="C166"/>
  <c r="S166"/>
  <c r="Q166"/>
  <c r="AQ144"/>
  <c r="AJ101"/>
  <c r="AC119"/>
  <c r="AJ119"/>
  <c r="AC125"/>
  <c r="AJ125"/>
  <c r="AJ134"/>
  <c r="AC141"/>
  <c r="AJ141"/>
  <c r="AM142"/>
  <c r="Y144"/>
  <c r="AJ147"/>
  <c r="AJ149"/>
  <c r="X59" i="24"/>
  <c r="X10"/>
  <c r="X11"/>
  <c r="W12"/>
  <c r="AH10"/>
  <c r="AH9"/>
  <c r="AI9"/>
  <c r="AI8"/>
  <c r="AI11"/>
  <c r="T59"/>
  <c r="T11"/>
  <c r="T10"/>
  <c r="S12"/>
  <c r="J16"/>
  <c r="AA5"/>
  <c r="AC5"/>
  <c r="AD11"/>
  <c r="AK6"/>
  <c r="H16"/>
  <c r="V59"/>
  <c r="U12"/>
  <c r="V11"/>
  <c r="V10"/>
  <c r="Z59"/>
  <c r="Z11"/>
  <c r="Z10"/>
  <c r="Y12"/>
  <c r="D16"/>
  <c r="L16"/>
  <c r="N16"/>
  <c r="AM5"/>
  <c r="AN5"/>
  <c r="AI7"/>
  <c r="AJ105" i="23"/>
  <c r="AL115"/>
  <c r="AJ79"/>
  <c r="AK82"/>
  <c r="AK97"/>
  <c r="AJ137"/>
  <c r="AK127"/>
  <c r="AJ121"/>
  <c r="AK120"/>
  <c r="AK105"/>
  <c r="AK102"/>
  <c r="AM115"/>
  <c r="AK90"/>
  <c r="AC90"/>
  <c r="AJ90"/>
  <c r="AK85"/>
  <c r="AK83"/>
  <c r="AJ83"/>
  <c r="AK79"/>
  <c r="AC78"/>
  <c r="AJ78"/>
  <c r="AJ77"/>
  <c r="Q21" i="24"/>
  <c r="AS21"/>
  <c r="R16"/>
  <c r="AK91" i="23"/>
  <c r="AK138"/>
  <c r="AJ138"/>
  <c r="AK121"/>
  <c r="AL93"/>
  <c r="AK87"/>
  <c r="AK86"/>
  <c r="AC85"/>
  <c r="AJ85"/>
  <c r="AC82"/>
  <c r="AJ82"/>
  <c r="AK81"/>
  <c r="AC81"/>
  <c r="AJ81"/>
  <c r="AK77"/>
  <c r="AA93"/>
  <c r="AM93"/>
  <c r="AL76"/>
  <c r="AM76"/>
  <c r="AO68"/>
  <c r="AM68"/>
  <c r="AL68"/>
  <c r="AM67"/>
  <c r="AL67"/>
  <c r="AM66"/>
  <c r="AL66"/>
  <c r="AM65"/>
  <c r="AL65"/>
  <c r="AA65"/>
  <c r="AC65"/>
  <c r="AM64"/>
  <c r="AL64"/>
  <c r="AA64"/>
  <c r="AM63"/>
  <c r="AL63"/>
  <c r="AA63"/>
  <c r="AM62"/>
  <c r="AL62"/>
  <c r="AA62"/>
  <c r="AC62"/>
  <c r="AM61"/>
  <c r="AL61"/>
  <c r="AA61"/>
  <c r="AM60"/>
  <c r="AL60"/>
  <c r="AA60"/>
  <c r="AM59"/>
  <c r="AL59"/>
  <c r="AA59"/>
  <c r="R59"/>
  <c r="P59"/>
  <c r="N59"/>
  <c r="L59"/>
  <c r="H59"/>
  <c r="AM58"/>
  <c r="AL58"/>
  <c r="AA58"/>
  <c r="AM57"/>
  <c r="AL57"/>
  <c r="AM56"/>
  <c r="AL56"/>
  <c r="AA56"/>
  <c r="AM55"/>
  <c r="AL55"/>
  <c r="AA55"/>
  <c r="AM54"/>
  <c r="AL54"/>
  <c r="AA54"/>
  <c r="AM53"/>
  <c r="AL53"/>
  <c r="AA53"/>
  <c r="AM52"/>
  <c r="AL52"/>
  <c r="AA52"/>
  <c r="AM51"/>
  <c r="AL51"/>
  <c r="AA51"/>
  <c r="AM50"/>
  <c r="AL50"/>
  <c r="AA50"/>
  <c r="AM49"/>
  <c r="AL49"/>
  <c r="AA49"/>
  <c r="AM48"/>
  <c r="AL48"/>
  <c r="AA48"/>
  <c r="AM47"/>
  <c r="AL47"/>
  <c r="AA47"/>
  <c r="AM46"/>
  <c r="AL46"/>
  <c r="AA46"/>
  <c r="AC46"/>
  <c r="AJ46"/>
  <c r="AM45"/>
  <c r="AL45"/>
  <c r="AA45"/>
  <c r="AC45"/>
  <c r="AM44"/>
  <c r="AL44"/>
  <c r="AA44"/>
  <c r="AM43"/>
  <c r="AL43"/>
  <c r="AA43"/>
  <c r="AM42"/>
  <c r="AL42"/>
  <c r="AC42"/>
  <c r="Y41"/>
  <c r="W41"/>
  <c r="U41"/>
  <c r="S41"/>
  <c r="Q41"/>
  <c r="AQ41"/>
  <c r="O41"/>
  <c r="M41"/>
  <c r="K41"/>
  <c r="I41"/>
  <c r="G41"/>
  <c r="E41"/>
  <c r="C41"/>
  <c r="AM40"/>
  <c r="AL40"/>
  <c r="AA40"/>
  <c r="AC40"/>
  <c r="AJ40"/>
  <c r="AM39"/>
  <c r="AL39"/>
  <c r="AA39"/>
  <c r="AK39"/>
  <c r="AM38"/>
  <c r="AL38"/>
  <c r="AA38"/>
  <c r="AK38"/>
  <c r="C129" i="24"/>
  <c r="C145" s="1"/>
  <c r="Z26"/>
  <c r="Z121"/>
  <c r="Z127"/>
  <c r="Z122"/>
  <c r="Z118"/>
  <c r="Z128"/>
  <c r="Z125"/>
  <c r="Z119"/>
  <c r="Z120"/>
  <c r="Z116"/>
  <c r="Z74"/>
  <c r="Z70"/>
  <c r="Z66"/>
  <c r="Z75"/>
  <c r="Z71"/>
  <c r="Z67"/>
  <c r="Z72"/>
  <c r="Z68"/>
  <c r="Z73"/>
  <c r="Z69"/>
  <c r="X26"/>
  <c r="X128"/>
  <c r="X125"/>
  <c r="X121"/>
  <c r="X119"/>
  <c r="X127"/>
  <c r="X122"/>
  <c r="X120"/>
  <c r="X118"/>
  <c r="X116"/>
  <c r="X75"/>
  <c r="X73"/>
  <c r="X71"/>
  <c r="X69"/>
  <c r="X67"/>
  <c r="X74"/>
  <c r="X72"/>
  <c r="X70"/>
  <c r="X68"/>
  <c r="X66"/>
  <c r="V120"/>
  <c r="V116"/>
  <c r="V128"/>
  <c r="V125"/>
  <c r="V119"/>
  <c r="V127"/>
  <c r="V122"/>
  <c r="V118"/>
  <c r="V26"/>
  <c r="V121"/>
  <c r="V74"/>
  <c r="V70"/>
  <c r="V66"/>
  <c r="V73"/>
  <c r="V69"/>
  <c r="V72"/>
  <c r="V68"/>
  <c r="V75"/>
  <c r="V71"/>
  <c r="V67"/>
  <c r="T26"/>
  <c r="T128"/>
  <c r="T127"/>
  <c r="T125"/>
  <c r="T122"/>
  <c r="T121"/>
  <c r="T120"/>
  <c r="T119"/>
  <c r="T118"/>
  <c r="T116"/>
  <c r="T75"/>
  <c r="T74"/>
  <c r="T73"/>
  <c r="T72"/>
  <c r="T71"/>
  <c r="T70"/>
  <c r="T69"/>
  <c r="T68"/>
  <c r="T67"/>
  <c r="T66"/>
  <c r="AS126"/>
  <c r="Y144" i="10"/>
  <c r="Y6" i="28"/>
  <c r="Y22" s="1"/>
  <c r="U144" i="10"/>
  <c r="U6" i="28"/>
  <c r="Z17" i="24"/>
  <c r="W17"/>
  <c r="U17"/>
  <c r="V17"/>
  <c r="S17"/>
  <c r="T17"/>
  <c r="Z55"/>
  <c r="Z46"/>
  <c r="Z115"/>
  <c r="T55"/>
  <c r="T142"/>
  <c r="T46"/>
  <c r="T115"/>
  <c r="X17"/>
  <c r="X55"/>
  <c r="X46"/>
  <c r="X115"/>
  <c r="AJ9"/>
  <c r="V55"/>
  <c r="V46"/>
  <c r="V115"/>
  <c r="AS27"/>
  <c r="AA93" i="10"/>
  <c r="AC93"/>
  <c r="O35" i="24"/>
  <c r="O23" i="28"/>
  <c r="AA7"/>
  <c r="AA23"/>
  <c r="M36" i="24"/>
  <c r="M12" i="28" s="1"/>
  <c r="K35" i="24"/>
  <c r="E35"/>
  <c r="M145"/>
  <c r="N129"/>
  <c r="D129"/>
  <c r="AJ38" i="23"/>
  <c r="AK63"/>
  <c r="AK67"/>
  <c r="AC38"/>
  <c r="AA76"/>
  <c r="AK60"/>
  <c r="AK64"/>
  <c r="AL41"/>
  <c r="AK48"/>
  <c r="AA144"/>
  <c r="AA166" s="1"/>
  <c r="AA41"/>
  <c r="AC41"/>
  <c r="AK61"/>
  <c r="T76" i="24"/>
  <c r="O129"/>
  <c r="E129"/>
  <c r="Z76"/>
  <c r="V76"/>
  <c r="X76"/>
  <c r="K129"/>
  <c r="AC142" i="23"/>
  <c r="AC164" s="1"/>
  <c r="AD6" i="24"/>
  <c r="AB7"/>
  <c r="AJ5"/>
  <c r="AB8"/>
  <c r="AD8"/>
  <c r="AB9"/>
  <c r="AD9"/>
  <c r="AK142" i="23"/>
  <c r="Y166"/>
  <c r="AK40"/>
  <c r="AM41"/>
  <c r="AK44"/>
  <c r="AC48"/>
  <c r="AJ48"/>
  <c r="AK49"/>
  <c r="AC50"/>
  <c r="AJ50"/>
  <c r="AK52"/>
  <c r="AK54"/>
  <c r="AC58"/>
  <c r="AJ58"/>
  <c r="AC59"/>
  <c r="AJ59"/>
  <c r="AK59"/>
  <c r="AC60"/>
  <c r="AJ60"/>
  <c r="AC61"/>
  <c r="AJ61"/>
  <c r="AK65"/>
  <c r="AC67"/>
  <c r="AJ67"/>
  <c r="U166"/>
  <c r="AK50"/>
  <c r="AK58"/>
  <c r="AC63"/>
  <c r="AJ63"/>
  <c r="AC64"/>
  <c r="AJ64"/>
  <c r="T143" i="24"/>
  <c r="T139"/>
  <c r="T144"/>
  <c r="T141"/>
  <c r="T140"/>
  <c r="T138"/>
  <c r="T137"/>
  <c r="T136"/>
  <c r="T86"/>
  <c r="T82"/>
  <c r="T81"/>
  <c r="T77"/>
  <c r="T53"/>
  <c r="T50"/>
  <c r="T48"/>
  <c r="T45"/>
  <c r="T43"/>
  <c r="T40"/>
  <c r="T38"/>
  <c r="T89"/>
  <c r="T85"/>
  <c r="T80"/>
  <c r="T60"/>
  <c r="T58"/>
  <c r="T52"/>
  <c r="T42"/>
  <c r="T90"/>
  <c r="T88"/>
  <c r="T87"/>
  <c r="T84"/>
  <c r="T83"/>
  <c r="T64"/>
  <c r="T54"/>
  <c r="T51"/>
  <c r="T44"/>
  <c r="T39"/>
  <c r="T92"/>
  <c r="T79"/>
  <c r="T56"/>
  <c r="T91"/>
  <c r="T65"/>
  <c r="T61"/>
  <c r="T78"/>
  <c r="T62"/>
  <c r="T57"/>
  <c r="T47"/>
  <c r="T63"/>
  <c r="T49"/>
  <c r="T33"/>
  <c r="T28"/>
  <c r="T34"/>
  <c r="T24"/>
  <c r="T22"/>
  <c r="T41"/>
  <c r="T93"/>
  <c r="T31"/>
  <c r="T29"/>
  <c r="T23"/>
  <c r="S16"/>
  <c r="T32"/>
  <c r="T30"/>
  <c r="T19"/>
  <c r="AL12"/>
  <c r="AM12"/>
  <c r="AN12"/>
  <c r="AN26"/>
  <c r="C35"/>
  <c r="Z141"/>
  <c r="Z140"/>
  <c r="Z138"/>
  <c r="Z143"/>
  <c r="Z142"/>
  <c r="Z139"/>
  <c r="Z150"/>
  <c r="Z144"/>
  <c r="Z137"/>
  <c r="Z136"/>
  <c r="Z89"/>
  <c r="Z85"/>
  <c r="Z80"/>
  <c r="Z60"/>
  <c r="Z58"/>
  <c r="Z52"/>
  <c r="Z42"/>
  <c r="Z92"/>
  <c r="Z91"/>
  <c r="Z90"/>
  <c r="Z88"/>
  <c r="Z84"/>
  <c r="Z79"/>
  <c r="Z64"/>
  <c r="Z63"/>
  <c r="Z62"/>
  <c r="Z61"/>
  <c r="Z57"/>
  <c r="Z51"/>
  <c r="Z49"/>
  <c r="Z65"/>
  <c r="Z41"/>
  <c r="Z78"/>
  <c r="Z77"/>
  <c r="Z56"/>
  <c r="Z87"/>
  <c r="Z86"/>
  <c r="Z83"/>
  <c r="Z82"/>
  <c r="Z54"/>
  <c r="Z53"/>
  <c r="Z48"/>
  <c r="Z44"/>
  <c r="Z43"/>
  <c r="Z39"/>
  <c r="Z38"/>
  <c r="Z50"/>
  <c r="Z40"/>
  <c r="Z81"/>
  <c r="Z47"/>
  <c r="Z45"/>
  <c r="Z31"/>
  <c r="Z29"/>
  <c r="Z23"/>
  <c r="Z30"/>
  <c r="Z19"/>
  <c r="Z33"/>
  <c r="Z34"/>
  <c r="Z24"/>
  <c r="Z22"/>
  <c r="Z32"/>
  <c r="Z28"/>
  <c r="Y16"/>
  <c r="Z93"/>
  <c r="V141"/>
  <c r="V142"/>
  <c r="V150"/>
  <c r="V143"/>
  <c r="V139"/>
  <c r="V140"/>
  <c r="V138"/>
  <c r="V144"/>
  <c r="V137"/>
  <c r="V136"/>
  <c r="V87"/>
  <c r="V83"/>
  <c r="V78"/>
  <c r="V65"/>
  <c r="V56"/>
  <c r="V54"/>
  <c r="V47"/>
  <c r="V44"/>
  <c r="V39"/>
  <c r="V86"/>
  <c r="V82"/>
  <c r="V81"/>
  <c r="V77"/>
  <c r="V53"/>
  <c r="V50"/>
  <c r="V48"/>
  <c r="V45"/>
  <c r="V43"/>
  <c r="V40"/>
  <c r="V38"/>
  <c r="V80"/>
  <c r="V63"/>
  <c r="V58"/>
  <c r="V49"/>
  <c r="V91"/>
  <c r="V79"/>
  <c r="V60"/>
  <c r="V57"/>
  <c r="V90"/>
  <c r="V88"/>
  <c r="V84"/>
  <c r="V64"/>
  <c r="V51"/>
  <c r="V89"/>
  <c r="V85"/>
  <c r="V61"/>
  <c r="V52"/>
  <c r="V42"/>
  <c r="V92"/>
  <c r="V62"/>
  <c r="V41"/>
  <c r="V32"/>
  <c r="V30"/>
  <c r="V19"/>
  <c r="V24"/>
  <c r="U16"/>
  <c r="V93"/>
  <c r="V33"/>
  <c r="V28"/>
  <c r="V31"/>
  <c r="V29"/>
  <c r="V23"/>
  <c r="V34"/>
  <c r="V22"/>
  <c r="I35"/>
  <c r="AI10"/>
  <c r="AJ10"/>
  <c r="G35"/>
  <c r="G36" s="1"/>
  <c r="X150"/>
  <c r="X138"/>
  <c r="X143"/>
  <c r="X139"/>
  <c r="X141"/>
  <c r="X140"/>
  <c r="X144"/>
  <c r="X142"/>
  <c r="X137"/>
  <c r="X136"/>
  <c r="X92"/>
  <c r="X91"/>
  <c r="X90"/>
  <c r="X88"/>
  <c r="X84"/>
  <c r="X79"/>
  <c r="X64"/>
  <c r="X63"/>
  <c r="X62"/>
  <c r="X61"/>
  <c r="X57"/>
  <c r="X51"/>
  <c r="X49"/>
  <c r="X87"/>
  <c r="X83"/>
  <c r="X78"/>
  <c r="X65"/>
  <c r="X56"/>
  <c r="X54"/>
  <c r="X47"/>
  <c r="X44"/>
  <c r="X39"/>
  <c r="X86"/>
  <c r="X82"/>
  <c r="X60"/>
  <c r="X53"/>
  <c r="X48"/>
  <c r="X43"/>
  <c r="X38"/>
  <c r="X81"/>
  <c r="X77"/>
  <c r="X85"/>
  <c r="X80"/>
  <c r="X58"/>
  <c r="X50"/>
  <c r="X40"/>
  <c r="X45"/>
  <c r="X89"/>
  <c r="X52"/>
  <c r="X42"/>
  <c r="X34"/>
  <c r="X24"/>
  <c r="X22"/>
  <c r="X33"/>
  <c r="X31"/>
  <c r="X93"/>
  <c r="X32"/>
  <c r="X30"/>
  <c r="X19"/>
  <c r="W16"/>
  <c r="X41"/>
  <c r="X28"/>
  <c r="X29"/>
  <c r="X23"/>
  <c r="AB10"/>
  <c r="AK5"/>
  <c r="AD10"/>
  <c r="AB11"/>
  <c r="AB6"/>
  <c r="AK51" i="23"/>
  <c r="AK115"/>
  <c r="AK68"/>
  <c r="AJ65"/>
  <c r="AK62"/>
  <c r="AJ62"/>
  <c r="AK57"/>
  <c r="AK47"/>
  <c r="Q35" i="24"/>
  <c r="R21"/>
  <c r="AK55" i="23"/>
  <c r="AK66"/>
  <c r="AC66"/>
  <c r="AJ66"/>
  <c r="AJ45"/>
  <c r="AK53"/>
  <c r="AK93"/>
  <c r="AC93"/>
  <c r="AJ93"/>
  <c r="AK56"/>
  <c r="AK46"/>
  <c r="AK45"/>
  <c r="AK43"/>
  <c r="AJ42"/>
  <c r="AK42"/>
  <c r="AM34"/>
  <c r="AL34"/>
  <c r="AA34"/>
  <c r="AM33"/>
  <c r="AL33"/>
  <c r="AA33"/>
  <c r="AC33"/>
  <c r="AM32"/>
  <c r="AL32"/>
  <c r="AC32"/>
  <c r="AJ32"/>
  <c r="AA32"/>
  <c r="AM31"/>
  <c r="AL31"/>
  <c r="AA31"/>
  <c r="AM30"/>
  <c r="AL30"/>
  <c r="AA30"/>
  <c r="AM29"/>
  <c r="AL29"/>
  <c r="AA29"/>
  <c r="AC29"/>
  <c r="AM28"/>
  <c r="AL28"/>
  <c r="AA28"/>
  <c r="AM26"/>
  <c r="AL26"/>
  <c r="AA26"/>
  <c r="AM25"/>
  <c r="AL25"/>
  <c r="AA25"/>
  <c r="AM24"/>
  <c r="AL24"/>
  <c r="AA24"/>
  <c r="AK24"/>
  <c r="AM23"/>
  <c r="AL23"/>
  <c r="AA23"/>
  <c r="AM22"/>
  <c r="AL22"/>
  <c r="AA22"/>
  <c r="AC22"/>
  <c r="Z27" i="24"/>
  <c r="Y126"/>
  <c r="Z126"/>
  <c r="X27"/>
  <c r="W126"/>
  <c r="X126"/>
  <c r="U126"/>
  <c r="V126"/>
  <c r="V27"/>
  <c r="T27"/>
  <c r="S126"/>
  <c r="T126"/>
  <c r="W11" i="28"/>
  <c r="U11"/>
  <c r="Y11"/>
  <c r="S11"/>
  <c r="O36" i="24"/>
  <c r="P35"/>
  <c r="M158"/>
  <c r="N36"/>
  <c r="M37"/>
  <c r="N37" s="1"/>
  <c r="L35"/>
  <c r="K36"/>
  <c r="K12" i="28"/>
  <c r="F35" i="24"/>
  <c r="E36"/>
  <c r="E12" i="28" s="1"/>
  <c r="AJ142" i="23"/>
  <c r="AC144"/>
  <c r="AC166" s="1"/>
  <c r="N145" i="24"/>
  <c r="AK22" i="23"/>
  <c r="AK23"/>
  <c r="AK41"/>
  <c r="AJ41"/>
  <c r="AC23"/>
  <c r="AJ23"/>
  <c r="AK34"/>
  <c r="AK29"/>
  <c r="AK32"/>
  <c r="AC34"/>
  <c r="AJ34"/>
  <c r="E145" i="24"/>
  <c r="F129"/>
  <c r="O145"/>
  <c r="P129"/>
  <c r="K145"/>
  <c r="L129"/>
  <c r="Q36"/>
  <c r="AS35"/>
  <c r="AK25" i="23"/>
  <c r="AK26"/>
  <c r="AK28"/>
  <c r="AJ29"/>
  <c r="AK30"/>
  <c r="AK31"/>
  <c r="AJ22"/>
  <c r="AC24"/>
  <c r="AJ24"/>
  <c r="AC26"/>
  <c r="AJ26"/>
  <c r="AC28"/>
  <c r="AJ28"/>
  <c r="AC30"/>
  <c r="AJ30"/>
  <c r="AK33"/>
  <c r="AJ33"/>
  <c r="W21" i="24"/>
  <c r="H35"/>
  <c r="J35"/>
  <c r="I36"/>
  <c r="I12" i="28" s="1"/>
  <c r="Z16" i="24"/>
  <c r="AN34"/>
  <c r="D35"/>
  <c r="C36"/>
  <c r="C12" i="28" s="1"/>
  <c r="S21" i="24"/>
  <c r="AM17"/>
  <c r="AN17" s="1"/>
  <c r="AL17"/>
  <c r="AA17"/>
  <c r="U21"/>
  <c r="V21"/>
  <c r="T16"/>
  <c r="AM16"/>
  <c r="AN16"/>
  <c r="AL16"/>
  <c r="X16"/>
  <c r="V16"/>
  <c r="Y21"/>
  <c r="R35"/>
  <c r="AK76" i="23"/>
  <c r="AM20"/>
  <c r="AL20"/>
  <c r="AA20"/>
  <c r="AC20"/>
  <c r="AM19"/>
  <c r="AL19"/>
  <c r="AA19"/>
  <c r="AC19"/>
  <c r="AM18"/>
  <c r="AL18"/>
  <c r="AA18"/>
  <c r="Y15"/>
  <c r="W15"/>
  <c r="U15"/>
  <c r="S15"/>
  <c r="Q15"/>
  <c r="AQ15"/>
  <c r="O15"/>
  <c r="M15"/>
  <c r="K15"/>
  <c r="I15"/>
  <c r="G15"/>
  <c r="E15"/>
  <c r="C15"/>
  <c r="AM14"/>
  <c r="AL14"/>
  <c r="AA14"/>
  <c r="AC14"/>
  <c r="AM13"/>
  <c r="AL13"/>
  <c r="AA13"/>
  <c r="AA15"/>
  <c r="Q12"/>
  <c r="O12"/>
  <c r="M12"/>
  <c r="K12"/>
  <c r="I12"/>
  <c r="G12"/>
  <c r="E12"/>
  <c r="C12"/>
  <c r="AM11"/>
  <c r="AL11"/>
  <c r="AA11"/>
  <c r="AK11"/>
  <c r="R11"/>
  <c r="P11"/>
  <c r="N11"/>
  <c r="L11"/>
  <c r="J11"/>
  <c r="H11"/>
  <c r="F11"/>
  <c r="D11"/>
  <c r="AL10"/>
  <c r="AA10"/>
  <c r="R10"/>
  <c r="P10"/>
  <c r="N10"/>
  <c r="L10"/>
  <c r="J10"/>
  <c r="H10"/>
  <c r="F10"/>
  <c r="D10"/>
  <c r="AM9"/>
  <c r="R118"/>
  <c r="P118"/>
  <c r="M2" i="28"/>
  <c r="M18"/>
  <c r="N118" i="23"/>
  <c r="L118"/>
  <c r="K21"/>
  <c r="L21"/>
  <c r="K2" i="28"/>
  <c r="K18"/>
  <c r="I2"/>
  <c r="I18"/>
  <c r="J118" i="23"/>
  <c r="H118"/>
  <c r="G2" i="28"/>
  <c r="G18"/>
  <c r="E2"/>
  <c r="E18"/>
  <c r="F118" i="23"/>
  <c r="F17"/>
  <c r="F46"/>
  <c r="C2" i="28"/>
  <c r="C18"/>
  <c r="D118" i="23"/>
  <c r="D17"/>
  <c r="U35" i="24"/>
  <c r="V35" s="1"/>
  <c r="AA11" i="28"/>
  <c r="AA27" i="24"/>
  <c r="Q2" i="28"/>
  <c r="AS36" i="24"/>
  <c r="Q12" i="28"/>
  <c r="O12"/>
  <c r="O37" i="24"/>
  <c r="P36"/>
  <c r="O158"/>
  <c r="O2" i="28"/>
  <c r="K158" i="24"/>
  <c r="L36"/>
  <c r="K37"/>
  <c r="F36"/>
  <c r="E37"/>
  <c r="R115" i="23"/>
  <c r="P115"/>
  <c r="N115"/>
  <c r="L115"/>
  <c r="J115"/>
  <c r="H115"/>
  <c r="F115"/>
  <c r="D115"/>
  <c r="L145" i="24"/>
  <c r="F145"/>
  <c r="R73" i="23"/>
  <c r="R74"/>
  <c r="R70"/>
  <c r="R66"/>
  <c r="R75"/>
  <c r="R71"/>
  <c r="R67"/>
  <c r="R72"/>
  <c r="R68"/>
  <c r="R69"/>
  <c r="P75"/>
  <c r="P71"/>
  <c r="P72"/>
  <c r="P68"/>
  <c r="P73"/>
  <c r="P69"/>
  <c r="P74"/>
  <c r="P70"/>
  <c r="P66"/>
  <c r="P67"/>
  <c r="N73"/>
  <c r="N69"/>
  <c r="N74"/>
  <c r="N70"/>
  <c r="N66"/>
  <c r="N75"/>
  <c r="N71"/>
  <c r="N67"/>
  <c r="N72"/>
  <c r="N68"/>
  <c r="L66"/>
  <c r="L75"/>
  <c r="L71"/>
  <c r="L67"/>
  <c r="L72"/>
  <c r="L68"/>
  <c r="L73"/>
  <c r="L69"/>
  <c r="L74"/>
  <c r="L70"/>
  <c r="J75"/>
  <c r="J68"/>
  <c r="J73"/>
  <c r="J69"/>
  <c r="J74"/>
  <c r="J70"/>
  <c r="J66"/>
  <c r="J71"/>
  <c r="J67"/>
  <c r="J72"/>
  <c r="H74"/>
  <c r="H75"/>
  <c r="H71"/>
  <c r="H67"/>
  <c r="H72"/>
  <c r="H68"/>
  <c r="H73"/>
  <c r="H69"/>
  <c r="H70"/>
  <c r="H66"/>
  <c r="F72"/>
  <c r="F73"/>
  <c r="F69"/>
  <c r="F74"/>
  <c r="F70"/>
  <c r="F66"/>
  <c r="F75"/>
  <c r="F71"/>
  <c r="F67"/>
  <c r="F68"/>
  <c r="C12" i="10"/>
  <c r="D118"/>
  <c r="D74" i="23"/>
  <c r="D122"/>
  <c r="R127"/>
  <c r="R128"/>
  <c r="R91"/>
  <c r="R87"/>
  <c r="R83"/>
  <c r="R79"/>
  <c r="R88"/>
  <c r="R84"/>
  <c r="R80"/>
  <c r="R89"/>
  <c r="R85"/>
  <c r="R81"/>
  <c r="R77"/>
  <c r="R90"/>
  <c r="R86"/>
  <c r="R82"/>
  <c r="R78"/>
  <c r="AQ17"/>
  <c r="P128"/>
  <c r="P127"/>
  <c r="P90"/>
  <c r="P88"/>
  <c r="P86"/>
  <c r="P84"/>
  <c r="P82"/>
  <c r="P80"/>
  <c r="P78"/>
  <c r="P91"/>
  <c r="P89"/>
  <c r="P87"/>
  <c r="P85"/>
  <c r="P83"/>
  <c r="P81"/>
  <c r="P79"/>
  <c r="P77"/>
  <c r="O21"/>
  <c r="N127"/>
  <c r="N128"/>
  <c r="N89"/>
  <c r="N85"/>
  <c r="N81"/>
  <c r="N77"/>
  <c r="N88"/>
  <c r="N84"/>
  <c r="N80"/>
  <c r="N91"/>
  <c r="N87"/>
  <c r="N83"/>
  <c r="N79"/>
  <c r="N90"/>
  <c r="N86"/>
  <c r="N82"/>
  <c r="N78"/>
  <c r="M21"/>
  <c r="N21" s="1"/>
  <c r="L127"/>
  <c r="L128"/>
  <c r="L91"/>
  <c r="L90"/>
  <c r="L89"/>
  <c r="L88"/>
  <c r="L87"/>
  <c r="L86"/>
  <c r="L85"/>
  <c r="L84"/>
  <c r="L83"/>
  <c r="L82"/>
  <c r="L81"/>
  <c r="L80"/>
  <c r="L79"/>
  <c r="L78"/>
  <c r="L77"/>
  <c r="J127"/>
  <c r="J128"/>
  <c r="J91"/>
  <c r="J87"/>
  <c r="J83"/>
  <c r="J79"/>
  <c r="J88"/>
  <c r="J84"/>
  <c r="J80"/>
  <c r="J89"/>
  <c r="J85"/>
  <c r="J81"/>
  <c r="J77"/>
  <c r="J90"/>
  <c r="J86"/>
  <c r="J82"/>
  <c r="J78"/>
  <c r="I21"/>
  <c r="J21" s="1"/>
  <c r="H128"/>
  <c r="H127"/>
  <c r="H90"/>
  <c r="H88"/>
  <c r="H86"/>
  <c r="H84"/>
  <c r="H82"/>
  <c r="H80"/>
  <c r="H78"/>
  <c r="H91"/>
  <c r="H89"/>
  <c r="H87"/>
  <c r="H85"/>
  <c r="H83"/>
  <c r="H81"/>
  <c r="H79"/>
  <c r="H77"/>
  <c r="G21"/>
  <c r="H21" s="1"/>
  <c r="F128"/>
  <c r="F127"/>
  <c r="F89"/>
  <c r="F85"/>
  <c r="F81"/>
  <c r="F77"/>
  <c r="F88"/>
  <c r="F84"/>
  <c r="F80"/>
  <c r="F91"/>
  <c r="F87"/>
  <c r="F83"/>
  <c r="F79"/>
  <c r="F90"/>
  <c r="F86"/>
  <c r="F82"/>
  <c r="F78"/>
  <c r="E21"/>
  <c r="D68"/>
  <c r="D128"/>
  <c r="D127"/>
  <c r="D91"/>
  <c r="D90"/>
  <c r="D89"/>
  <c r="D88"/>
  <c r="D87"/>
  <c r="D86"/>
  <c r="D85"/>
  <c r="D84"/>
  <c r="D83"/>
  <c r="D82"/>
  <c r="D81"/>
  <c r="D80"/>
  <c r="D79"/>
  <c r="D78"/>
  <c r="D77"/>
  <c r="C21"/>
  <c r="D21" s="1"/>
  <c r="AC11"/>
  <c r="AJ11"/>
  <c r="AC13"/>
  <c r="AM15"/>
  <c r="AK20"/>
  <c r="AK10"/>
  <c r="AJ20"/>
  <c r="P145" i="24"/>
  <c r="R52" i="23"/>
  <c r="R54"/>
  <c r="R56"/>
  <c r="R51"/>
  <c r="R53"/>
  <c r="R55"/>
  <c r="R57"/>
  <c r="I16"/>
  <c r="E16"/>
  <c r="D73"/>
  <c r="D71"/>
  <c r="D75"/>
  <c r="D72"/>
  <c r="D70"/>
  <c r="D138"/>
  <c r="D76"/>
  <c r="Q158" i="24"/>
  <c r="Q37"/>
  <c r="AS37" s="1"/>
  <c r="R36"/>
  <c r="H142" i="23"/>
  <c r="H140"/>
  <c r="H139"/>
  <c r="H138"/>
  <c r="H136"/>
  <c r="H121"/>
  <c r="H120"/>
  <c r="H116"/>
  <c r="H150"/>
  <c r="H143"/>
  <c r="H141"/>
  <c r="H137"/>
  <c r="H125"/>
  <c r="H122"/>
  <c r="H119"/>
  <c r="H117"/>
  <c r="H92"/>
  <c r="H76"/>
  <c r="H144"/>
  <c r="H62"/>
  <c r="H61"/>
  <c r="H60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93"/>
  <c r="H65"/>
  <c r="H64"/>
  <c r="H63"/>
  <c r="H40"/>
  <c r="H39"/>
  <c r="H38"/>
  <c r="H34"/>
  <c r="H32"/>
  <c r="H31"/>
  <c r="H29"/>
  <c r="H23"/>
  <c r="H22"/>
  <c r="H33"/>
  <c r="H30"/>
  <c r="H28"/>
  <c r="H26"/>
  <c r="H25"/>
  <c r="H24"/>
  <c r="L142"/>
  <c r="L140"/>
  <c r="L139"/>
  <c r="L138"/>
  <c r="L136"/>
  <c r="L121"/>
  <c r="L120"/>
  <c r="L116"/>
  <c r="L150"/>
  <c r="L143"/>
  <c r="L141"/>
  <c r="L137"/>
  <c r="L125"/>
  <c r="L122"/>
  <c r="L119"/>
  <c r="L117"/>
  <c r="L93"/>
  <c r="L92"/>
  <c r="L76"/>
  <c r="L144"/>
  <c r="L62"/>
  <c r="L61"/>
  <c r="L60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65"/>
  <c r="L64"/>
  <c r="L63"/>
  <c r="L40"/>
  <c r="L39"/>
  <c r="L38"/>
  <c r="L34"/>
  <c r="L32"/>
  <c r="L31"/>
  <c r="L29"/>
  <c r="L23"/>
  <c r="L22"/>
  <c r="L33"/>
  <c r="L30"/>
  <c r="L28"/>
  <c r="L26"/>
  <c r="L25"/>
  <c r="L24"/>
  <c r="AA9"/>
  <c r="AC9"/>
  <c r="AK14"/>
  <c r="AJ14"/>
  <c r="AL15"/>
  <c r="AK15"/>
  <c r="C16"/>
  <c r="G16"/>
  <c r="K16"/>
  <c r="O16"/>
  <c r="L17"/>
  <c r="J17"/>
  <c r="H17"/>
  <c r="AK18"/>
  <c r="F19"/>
  <c r="J19"/>
  <c r="P19"/>
  <c r="D142"/>
  <c r="D140"/>
  <c r="D139"/>
  <c r="D136"/>
  <c r="D121"/>
  <c r="D120"/>
  <c r="D116"/>
  <c r="D150"/>
  <c r="D143"/>
  <c r="D141"/>
  <c r="D137"/>
  <c r="D125"/>
  <c r="D119"/>
  <c r="D117"/>
  <c r="D92"/>
  <c r="D69"/>
  <c r="D93"/>
  <c r="D67"/>
  <c r="D66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144"/>
  <c r="D65"/>
  <c r="D64"/>
  <c r="D63"/>
  <c r="D40"/>
  <c r="D39"/>
  <c r="D38"/>
  <c r="D34"/>
  <c r="D32"/>
  <c r="D31"/>
  <c r="D29"/>
  <c r="D23"/>
  <c r="D22"/>
  <c r="D33"/>
  <c r="D30"/>
  <c r="D28"/>
  <c r="D26"/>
  <c r="D25"/>
  <c r="D24"/>
  <c r="P150"/>
  <c r="P143"/>
  <c r="P141"/>
  <c r="P137"/>
  <c r="P125"/>
  <c r="P122"/>
  <c r="P119"/>
  <c r="P117"/>
  <c r="P142"/>
  <c r="P140"/>
  <c r="P139"/>
  <c r="P138"/>
  <c r="P136"/>
  <c r="P121"/>
  <c r="P120"/>
  <c r="P116"/>
  <c r="P92"/>
  <c r="P93"/>
  <c r="P65"/>
  <c r="P64"/>
  <c r="P63"/>
  <c r="P39"/>
  <c r="P144"/>
  <c r="P76"/>
  <c r="P62"/>
  <c r="P61"/>
  <c r="P60"/>
  <c r="P58"/>
  <c r="P57"/>
  <c r="P56"/>
  <c r="P55"/>
  <c r="P54"/>
  <c r="P53"/>
  <c r="P52"/>
  <c r="P51"/>
  <c r="P50"/>
  <c r="P49"/>
  <c r="P48"/>
  <c r="P47"/>
  <c r="P46"/>
  <c r="P45"/>
  <c r="P44"/>
  <c r="P43"/>
  <c r="P42"/>
  <c r="P40"/>
  <c r="P38"/>
  <c r="P33"/>
  <c r="P30"/>
  <c r="P28"/>
  <c r="P26"/>
  <c r="P25"/>
  <c r="P24"/>
  <c r="P22"/>
  <c r="P41"/>
  <c r="P34"/>
  <c r="P32"/>
  <c r="P31"/>
  <c r="P29"/>
  <c r="P23"/>
  <c r="F150"/>
  <c r="F143"/>
  <c r="F141"/>
  <c r="F137"/>
  <c r="F125"/>
  <c r="F122"/>
  <c r="F119"/>
  <c r="F117"/>
  <c r="F142"/>
  <c r="F140"/>
  <c r="F139"/>
  <c r="F138"/>
  <c r="F136"/>
  <c r="F121"/>
  <c r="F120"/>
  <c r="F116"/>
  <c r="F92"/>
  <c r="F76"/>
  <c r="F144"/>
  <c r="F65"/>
  <c r="F64"/>
  <c r="F63"/>
  <c r="F41"/>
  <c r="F39"/>
  <c r="F93"/>
  <c r="F62"/>
  <c r="F61"/>
  <c r="F60"/>
  <c r="F59"/>
  <c r="F58"/>
  <c r="F57"/>
  <c r="F56"/>
  <c r="F55"/>
  <c r="F54"/>
  <c r="F53"/>
  <c r="F52"/>
  <c r="F51"/>
  <c r="F50"/>
  <c r="F49"/>
  <c r="F48"/>
  <c r="F47"/>
  <c r="F45"/>
  <c r="F44"/>
  <c r="F43"/>
  <c r="F42"/>
  <c r="F40"/>
  <c r="F38"/>
  <c r="F33"/>
  <c r="F30"/>
  <c r="F28"/>
  <c r="F26"/>
  <c r="F25"/>
  <c r="F24"/>
  <c r="F22"/>
  <c r="F34"/>
  <c r="F32"/>
  <c r="F31"/>
  <c r="F29"/>
  <c r="F23"/>
  <c r="J150"/>
  <c r="J143"/>
  <c r="J141"/>
  <c r="J137"/>
  <c r="J125"/>
  <c r="J122"/>
  <c r="J119"/>
  <c r="J117"/>
  <c r="J142"/>
  <c r="J140"/>
  <c r="J139"/>
  <c r="J138"/>
  <c r="J136"/>
  <c r="J121"/>
  <c r="J120"/>
  <c r="J116"/>
  <c r="J92"/>
  <c r="J76"/>
  <c r="J65"/>
  <c r="J64"/>
  <c r="J63"/>
  <c r="J41"/>
  <c r="J40"/>
  <c r="J93"/>
  <c r="J144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39"/>
  <c r="J38"/>
  <c r="J33"/>
  <c r="J30"/>
  <c r="J28"/>
  <c r="J26"/>
  <c r="J25"/>
  <c r="J24"/>
  <c r="J34"/>
  <c r="J32"/>
  <c r="J31"/>
  <c r="J29"/>
  <c r="J23"/>
  <c r="J22"/>
  <c r="R19"/>
  <c r="AQ12"/>
  <c r="AL9"/>
  <c r="AK13"/>
  <c r="AJ13"/>
  <c r="P17"/>
  <c r="D19"/>
  <c r="H19"/>
  <c r="L19"/>
  <c r="P21"/>
  <c r="S129" i="24"/>
  <c r="AM126"/>
  <c r="AN126"/>
  <c r="AL126"/>
  <c r="J36"/>
  <c r="I37"/>
  <c r="Z21"/>
  <c r="U129"/>
  <c r="W129"/>
  <c r="AC17"/>
  <c r="AK17"/>
  <c r="AA21"/>
  <c r="Y129"/>
  <c r="T21"/>
  <c r="AM21"/>
  <c r="AN21" s="1"/>
  <c r="AL21"/>
  <c r="W35"/>
  <c r="W36" s="1"/>
  <c r="D36"/>
  <c r="C37"/>
  <c r="Y35"/>
  <c r="Z35" s="1"/>
  <c r="X21"/>
  <c r="AJ19" i="23"/>
  <c r="Q16"/>
  <c r="R143"/>
  <c r="R139"/>
  <c r="R137"/>
  <c r="R122"/>
  <c r="R121"/>
  <c r="R116"/>
  <c r="R93"/>
  <c r="R92"/>
  <c r="R136"/>
  <c r="R117"/>
  <c r="R150"/>
  <c r="R141"/>
  <c r="R76"/>
  <c r="R144"/>
  <c r="R140"/>
  <c r="R138"/>
  <c r="R120"/>
  <c r="R142"/>
  <c r="R125"/>
  <c r="R119"/>
  <c r="R61"/>
  <c r="R58"/>
  <c r="R48"/>
  <c r="R46"/>
  <c r="R44"/>
  <c r="R40"/>
  <c r="R60"/>
  <c r="R47"/>
  <c r="R63"/>
  <c r="R62"/>
  <c r="R49"/>
  <c r="R45"/>
  <c r="R43"/>
  <c r="R42"/>
  <c r="R41"/>
  <c r="R64"/>
  <c r="R50"/>
  <c r="R38"/>
  <c r="R65"/>
  <c r="R39"/>
  <c r="R34"/>
  <c r="R33"/>
  <c r="R24"/>
  <c r="R31"/>
  <c r="R28"/>
  <c r="R26"/>
  <c r="R25"/>
  <c r="R22"/>
  <c r="R32"/>
  <c r="R23"/>
  <c r="R30"/>
  <c r="R29"/>
  <c r="R17"/>
  <c r="AK19"/>
  <c r="N143"/>
  <c r="N142"/>
  <c r="N136"/>
  <c r="N141"/>
  <c r="N139"/>
  <c r="N125"/>
  <c r="N116"/>
  <c r="N93"/>
  <c r="N150"/>
  <c r="N144"/>
  <c r="N121"/>
  <c r="N122"/>
  <c r="N120"/>
  <c r="N92"/>
  <c r="N76"/>
  <c r="N140"/>
  <c r="N138"/>
  <c r="N137"/>
  <c r="N119"/>
  <c r="N117"/>
  <c r="N65"/>
  <c r="N64"/>
  <c r="N63"/>
  <c r="N62"/>
  <c r="N61"/>
  <c r="N60"/>
  <c r="N58"/>
  <c r="N57"/>
  <c r="N56"/>
  <c r="N55"/>
  <c r="N54"/>
  <c r="N53"/>
  <c r="N52"/>
  <c r="N51"/>
  <c r="N50"/>
  <c r="N48"/>
  <c r="N47"/>
  <c r="N42"/>
  <c r="N43"/>
  <c r="N40"/>
  <c r="N38"/>
  <c r="N46"/>
  <c r="N49"/>
  <c r="N41"/>
  <c r="N45"/>
  <c r="N44"/>
  <c r="N39"/>
  <c r="N34"/>
  <c r="N32"/>
  <c r="N31"/>
  <c r="N29"/>
  <c r="N23"/>
  <c r="N22"/>
  <c r="N25"/>
  <c r="N24"/>
  <c r="N30"/>
  <c r="N28"/>
  <c r="N33"/>
  <c r="N26"/>
  <c r="M16"/>
  <c r="N17"/>
  <c r="N19"/>
  <c r="AM8"/>
  <c r="AL8"/>
  <c r="AA8"/>
  <c r="R8"/>
  <c r="P8"/>
  <c r="N8"/>
  <c r="L8"/>
  <c r="J8"/>
  <c r="H8"/>
  <c r="F8"/>
  <c r="D8"/>
  <c r="AM7"/>
  <c r="AL7"/>
  <c r="AA7"/>
  <c r="AC7"/>
  <c r="AJ7"/>
  <c r="R7"/>
  <c r="P7"/>
  <c r="N7"/>
  <c r="L7"/>
  <c r="J7"/>
  <c r="H7"/>
  <c r="F7"/>
  <c r="D7"/>
  <c r="AM6"/>
  <c r="AL6"/>
  <c r="AA6"/>
  <c r="R6"/>
  <c r="P6"/>
  <c r="N6"/>
  <c r="L6"/>
  <c r="J6"/>
  <c r="H6"/>
  <c r="F6"/>
  <c r="D6"/>
  <c r="AH5"/>
  <c r="Q126"/>
  <c r="Q126" i="10"/>
  <c r="O35" i="23"/>
  <c r="P35" s="1"/>
  <c r="O126"/>
  <c r="O126" i="10"/>
  <c r="M126" i="23"/>
  <c r="M126" i="10"/>
  <c r="K35" i="23"/>
  <c r="K126"/>
  <c r="K126" i="10"/>
  <c r="I126" i="23"/>
  <c r="I126" i="10"/>
  <c r="G126" i="23"/>
  <c r="F16"/>
  <c r="E126"/>
  <c r="E126" i="10"/>
  <c r="C126" i="23"/>
  <c r="C126" i="10"/>
  <c r="Q18" i="28"/>
  <c r="AQ27" i="23"/>
  <c r="P37" i="24"/>
  <c r="O131"/>
  <c r="O18" i="28"/>
  <c r="L37" i="24"/>
  <c r="K131"/>
  <c r="F37"/>
  <c r="E131"/>
  <c r="G126" i="10"/>
  <c r="D127"/>
  <c r="D125"/>
  <c r="D123"/>
  <c r="D121"/>
  <c r="D137"/>
  <c r="D133"/>
  <c r="D116"/>
  <c r="D93"/>
  <c r="D91"/>
  <c r="D89"/>
  <c r="D87"/>
  <c r="D85"/>
  <c r="D54"/>
  <c r="D58"/>
  <c r="D62"/>
  <c r="D67"/>
  <c r="D69"/>
  <c r="D75"/>
  <c r="D78"/>
  <c r="D80"/>
  <c r="D86"/>
  <c r="D90"/>
  <c r="D128"/>
  <c r="D139"/>
  <c r="D57"/>
  <c r="D61"/>
  <c r="D65"/>
  <c r="D71"/>
  <c r="D73"/>
  <c r="D95"/>
  <c r="D97"/>
  <c r="D99"/>
  <c r="D108"/>
  <c r="D110"/>
  <c r="D113"/>
  <c r="D119"/>
  <c r="D124"/>
  <c r="D140"/>
  <c r="D142"/>
  <c r="D147"/>
  <c r="D114"/>
  <c r="D43"/>
  <c r="D45"/>
  <c r="D47"/>
  <c r="D49"/>
  <c r="D51"/>
  <c r="D53"/>
  <c r="D82"/>
  <c r="D130"/>
  <c r="D84"/>
  <c r="D149"/>
  <c r="D151"/>
  <c r="D56"/>
  <c r="D60"/>
  <c r="D64"/>
  <c r="D68"/>
  <c r="D70"/>
  <c r="D77"/>
  <c r="D79"/>
  <c r="D81"/>
  <c r="D88"/>
  <c r="D132"/>
  <c r="D55"/>
  <c r="D59"/>
  <c r="D63"/>
  <c r="D66"/>
  <c r="D72"/>
  <c r="D74"/>
  <c r="D94"/>
  <c r="D96"/>
  <c r="D98"/>
  <c r="D100"/>
  <c r="D109"/>
  <c r="D111"/>
  <c r="D115"/>
  <c r="D120"/>
  <c r="D136"/>
  <c r="D141"/>
  <c r="D143"/>
  <c r="D107"/>
  <c r="D112"/>
  <c r="D44"/>
  <c r="D46"/>
  <c r="D48"/>
  <c r="D50"/>
  <c r="D52"/>
  <c r="D117"/>
  <c r="D138"/>
  <c r="D92"/>
  <c r="D122"/>
  <c r="D134"/>
  <c r="D83"/>
  <c r="D150"/>
  <c r="D104"/>
  <c r="D102"/>
  <c r="D105"/>
  <c r="D106"/>
  <c r="D101"/>
  <c r="D103"/>
  <c r="D144"/>
  <c r="AQ16" i="23"/>
  <c r="P16"/>
  <c r="L126"/>
  <c r="J16"/>
  <c r="F21"/>
  <c r="AK7"/>
  <c r="AK6"/>
  <c r="X35" i="24"/>
  <c r="R37"/>
  <c r="AK9" i="23"/>
  <c r="AK8"/>
  <c r="X59"/>
  <c r="X11"/>
  <c r="W12"/>
  <c r="X10"/>
  <c r="V59"/>
  <c r="U12"/>
  <c r="V10"/>
  <c r="V11"/>
  <c r="Z59"/>
  <c r="Y12"/>
  <c r="Z10"/>
  <c r="Z11"/>
  <c r="AI59"/>
  <c r="AI11"/>
  <c r="AH10"/>
  <c r="AH9"/>
  <c r="H16"/>
  <c r="AL5"/>
  <c r="V6"/>
  <c r="Z6"/>
  <c r="AI6"/>
  <c r="T7"/>
  <c r="X7"/>
  <c r="AI7"/>
  <c r="V8"/>
  <c r="Z8"/>
  <c r="AI8"/>
  <c r="Z9"/>
  <c r="T59"/>
  <c r="T11"/>
  <c r="T10"/>
  <c r="S12"/>
  <c r="L16"/>
  <c r="D16"/>
  <c r="AA5"/>
  <c r="AC5"/>
  <c r="AD11"/>
  <c r="T6"/>
  <c r="X6"/>
  <c r="V7"/>
  <c r="Z7"/>
  <c r="T8"/>
  <c r="X8"/>
  <c r="AJ9"/>
  <c r="AI9"/>
  <c r="Z129" i="24"/>
  <c r="Y145"/>
  <c r="C131"/>
  <c r="D37"/>
  <c r="V129"/>
  <c r="U145"/>
  <c r="J37"/>
  <c r="T129"/>
  <c r="S145"/>
  <c r="AC21"/>
  <c r="AK21"/>
  <c r="X129"/>
  <c r="W145"/>
  <c r="Y36"/>
  <c r="Y12" i="28" s="1"/>
  <c r="Q21" i="23"/>
  <c r="AQ21" s="1"/>
  <c r="R16"/>
  <c r="N16"/>
  <c r="AM5"/>
  <c r="I35"/>
  <c r="I36" s="1"/>
  <c r="M129"/>
  <c r="M129" i="10" s="1"/>
  <c r="N129" s="1"/>
  <c r="N126" i="23"/>
  <c r="Y2" i="28"/>
  <c r="Y18"/>
  <c r="Z118" i="23"/>
  <c r="W17"/>
  <c r="X118"/>
  <c r="W2" i="28"/>
  <c r="W18"/>
  <c r="U2"/>
  <c r="U18"/>
  <c r="V118" i="23"/>
  <c r="T118"/>
  <c r="S2" i="28"/>
  <c r="P131" i="24"/>
  <c r="O135"/>
  <c r="O36" i="23"/>
  <c r="P36" s="1"/>
  <c r="L131" i="24"/>
  <c r="K135"/>
  <c r="K129" i="23"/>
  <c r="K129" i="10" s="1"/>
  <c r="L129" s="1"/>
  <c r="H126" i="23"/>
  <c r="G129"/>
  <c r="G129" i="10" s="1"/>
  <c r="F131" i="24"/>
  <c r="E135"/>
  <c r="E35" i="23"/>
  <c r="F35" s="1"/>
  <c r="C129"/>
  <c r="C129" i="10" s="1"/>
  <c r="D126" i="23"/>
  <c r="Z115"/>
  <c r="X115"/>
  <c r="V115"/>
  <c r="T115"/>
  <c r="T25"/>
  <c r="M27" i="10"/>
  <c r="M35" i="23"/>
  <c r="K36"/>
  <c r="K3" i="28"/>
  <c r="K19" s="1"/>
  <c r="L35" i="23"/>
  <c r="G35"/>
  <c r="D126" i="10"/>
  <c r="C35" i="23"/>
  <c r="Z73"/>
  <c r="Z74"/>
  <c r="Z70"/>
  <c r="Z66"/>
  <c r="Z75"/>
  <c r="Z71"/>
  <c r="Z67"/>
  <c r="Z72"/>
  <c r="Z68"/>
  <c r="Z69"/>
  <c r="Z127"/>
  <c r="Z91"/>
  <c r="Z87"/>
  <c r="Z83"/>
  <c r="Z79"/>
  <c r="Z88"/>
  <c r="Z84"/>
  <c r="Z80"/>
  <c r="Z89"/>
  <c r="Z85"/>
  <c r="Z81"/>
  <c r="Z77"/>
  <c r="Z90"/>
  <c r="Z86"/>
  <c r="Z82"/>
  <c r="Z78"/>
  <c r="X71"/>
  <c r="X72"/>
  <c r="X68"/>
  <c r="X73"/>
  <c r="X69"/>
  <c r="X74"/>
  <c r="X70"/>
  <c r="X66"/>
  <c r="X75"/>
  <c r="X67"/>
  <c r="V73"/>
  <c r="V74"/>
  <c r="V70"/>
  <c r="V66"/>
  <c r="V75"/>
  <c r="V71"/>
  <c r="V67"/>
  <c r="V72"/>
  <c r="V68"/>
  <c r="V69"/>
  <c r="T71"/>
  <c r="T72"/>
  <c r="T68"/>
  <c r="T73"/>
  <c r="T69"/>
  <c r="T74"/>
  <c r="T70"/>
  <c r="T66"/>
  <c r="T75"/>
  <c r="T67"/>
  <c r="X128"/>
  <c r="X127"/>
  <c r="X90"/>
  <c r="X88"/>
  <c r="X86"/>
  <c r="X84"/>
  <c r="X82"/>
  <c r="X80"/>
  <c r="X78"/>
  <c r="X91"/>
  <c r="X89"/>
  <c r="X87"/>
  <c r="X85"/>
  <c r="X83"/>
  <c r="X81"/>
  <c r="X79"/>
  <c r="X77"/>
  <c r="V128"/>
  <c r="V127"/>
  <c r="V89"/>
  <c r="V85"/>
  <c r="V81"/>
  <c r="V77"/>
  <c r="V88"/>
  <c r="V84"/>
  <c r="V80"/>
  <c r="V91"/>
  <c r="V87"/>
  <c r="V83"/>
  <c r="V79"/>
  <c r="V90"/>
  <c r="V86"/>
  <c r="V82"/>
  <c r="V78"/>
  <c r="T127"/>
  <c r="T128"/>
  <c r="T91"/>
  <c r="T90"/>
  <c r="T89"/>
  <c r="T88"/>
  <c r="T87"/>
  <c r="T86"/>
  <c r="T85"/>
  <c r="T84"/>
  <c r="T83"/>
  <c r="T82"/>
  <c r="T81"/>
  <c r="T80"/>
  <c r="T79"/>
  <c r="T78"/>
  <c r="T77"/>
  <c r="R126"/>
  <c r="AQ126"/>
  <c r="P126"/>
  <c r="O129"/>
  <c r="M145"/>
  <c r="N129"/>
  <c r="K145"/>
  <c r="J126"/>
  <c r="I129"/>
  <c r="F126"/>
  <c r="E129"/>
  <c r="E129" i="10" s="1"/>
  <c r="F129" s="1"/>
  <c r="AH12" i="23"/>
  <c r="AB59"/>
  <c r="AD7"/>
  <c r="AB6"/>
  <c r="AJ5"/>
  <c r="AB10"/>
  <c r="AB8"/>
  <c r="AB9"/>
  <c r="AB11"/>
  <c r="AD59"/>
  <c r="AB7"/>
  <c r="AK5"/>
  <c r="AA12"/>
  <c r="AB118"/>
  <c r="AD9"/>
  <c r="Z143"/>
  <c r="Z141"/>
  <c r="Z137"/>
  <c r="Z125"/>
  <c r="Z122"/>
  <c r="Z119"/>
  <c r="Z117"/>
  <c r="Z150"/>
  <c r="Z140"/>
  <c r="Z139"/>
  <c r="Z138"/>
  <c r="Z136"/>
  <c r="Z128"/>
  <c r="Z121"/>
  <c r="Z120"/>
  <c r="Z116"/>
  <c r="Z92"/>
  <c r="Z65"/>
  <c r="Z64"/>
  <c r="Z63"/>
  <c r="Z41"/>
  <c r="Z39"/>
  <c r="Z76"/>
  <c r="Z93"/>
  <c r="Z142"/>
  <c r="Z62"/>
  <c r="Z61"/>
  <c r="Z60"/>
  <c r="Z58"/>
  <c r="Z57"/>
  <c r="Z56"/>
  <c r="Z55"/>
  <c r="Z54"/>
  <c r="Z53"/>
  <c r="Z52"/>
  <c r="Z51"/>
  <c r="Z50"/>
  <c r="Z49"/>
  <c r="Z48"/>
  <c r="Z47"/>
  <c r="Z46"/>
  <c r="Z45"/>
  <c r="Z44"/>
  <c r="Z43"/>
  <c r="Z42"/>
  <c r="Z40"/>
  <c r="Z38"/>
  <c r="Z144"/>
  <c r="Z33"/>
  <c r="Z30"/>
  <c r="Z28"/>
  <c r="Z26"/>
  <c r="Z25"/>
  <c r="Z24"/>
  <c r="Z22"/>
  <c r="Z34"/>
  <c r="Z32"/>
  <c r="Z31"/>
  <c r="Z29"/>
  <c r="Z23"/>
  <c r="Z19"/>
  <c r="Y16"/>
  <c r="V143"/>
  <c r="V141"/>
  <c r="V137"/>
  <c r="V125"/>
  <c r="V122"/>
  <c r="V119"/>
  <c r="V117"/>
  <c r="V150"/>
  <c r="V140"/>
  <c r="V139"/>
  <c r="V138"/>
  <c r="V136"/>
  <c r="V121"/>
  <c r="V120"/>
  <c r="V116"/>
  <c r="V92"/>
  <c r="V76"/>
  <c r="V93"/>
  <c r="V142"/>
  <c r="V65"/>
  <c r="V64"/>
  <c r="V63"/>
  <c r="V41"/>
  <c r="V39"/>
  <c r="V62"/>
  <c r="V61"/>
  <c r="V60"/>
  <c r="V58"/>
  <c r="V57"/>
  <c r="V56"/>
  <c r="V55"/>
  <c r="V54"/>
  <c r="V53"/>
  <c r="V52"/>
  <c r="V51"/>
  <c r="V50"/>
  <c r="V49"/>
  <c r="V48"/>
  <c r="V47"/>
  <c r="V46"/>
  <c r="V45"/>
  <c r="V44"/>
  <c r="V43"/>
  <c r="V42"/>
  <c r="V40"/>
  <c r="V38"/>
  <c r="V33"/>
  <c r="V30"/>
  <c r="V28"/>
  <c r="V26"/>
  <c r="V25"/>
  <c r="V24"/>
  <c r="V144"/>
  <c r="V34"/>
  <c r="V32"/>
  <c r="V31"/>
  <c r="V29"/>
  <c r="V23"/>
  <c r="V22"/>
  <c r="V19"/>
  <c r="U21"/>
  <c r="U16"/>
  <c r="T142"/>
  <c r="T140"/>
  <c r="T139"/>
  <c r="T138"/>
  <c r="T136"/>
  <c r="T121"/>
  <c r="T120"/>
  <c r="T116"/>
  <c r="T143"/>
  <c r="T141"/>
  <c r="T137"/>
  <c r="T125"/>
  <c r="T122"/>
  <c r="T119"/>
  <c r="T117"/>
  <c r="T92"/>
  <c r="T93"/>
  <c r="T76"/>
  <c r="T62"/>
  <c r="T61"/>
  <c r="T60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144"/>
  <c r="T65"/>
  <c r="T64"/>
  <c r="T63"/>
  <c r="T40"/>
  <c r="T39"/>
  <c r="T38"/>
  <c r="T34"/>
  <c r="T32"/>
  <c r="T31"/>
  <c r="T29"/>
  <c r="T23"/>
  <c r="T22"/>
  <c r="T33"/>
  <c r="T30"/>
  <c r="T28"/>
  <c r="T26"/>
  <c r="T24"/>
  <c r="T19"/>
  <c r="S16"/>
  <c r="AM12"/>
  <c r="AL12"/>
  <c r="AI150"/>
  <c r="AI148"/>
  <c r="AI142"/>
  <c r="AI140"/>
  <c r="AI139"/>
  <c r="AI137"/>
  <c r="AI136"/>
  <c r="AI128"/>
  <c r="AI122"/>
  <c r="AI121"/>
  <c r="AI117"/>
  <c r="AI116"/>
  <c r="AI107"/>
  <c r="AI102"/>
  <c r="AI143"/>
  <c r="AI141"/>
  <c r="AI138"/>
  <c r="AI127"/>
  <c r="AI126"/>
  <c r="AI125"/>
  <c r="AI120"/>
  <c r="AI119"/>
  <c r="AI115"/>
  <c r="AI105"/>
  <c r="AI104"/>
  <c r="AI103"/>
  <c r="AI101"/>
  <c r="AI99"/>
  <c r="AI97"/>
  <c r="AI96"/>
  <c r="AI95"/>
  <c r="AI94"/>
  <c r="AI92"/>
  <c r="AI78"/>
  <c r="AI77"/>
  <c r="AI98"/>
  <c r="AI91"/>
  <c r="AI90"/>
  <c r="AI89"/>
  <c r="AI88"/>
  <c r="AI87"/>
  <c r="AI86"/>
  <c r="AI85"/>
  <c r="AI84"/>
  <c r="AI83"/>
  <c r="AI82"/>
  <c r="AI81"/>
  <c r="AI80"/>
  <c r="AI79"/>
  <c r="AI93"/>
  <c r="AI76"/>
  <c r="AI129"/>
  <c r="AI68"/>
  <c r="AI67"/>
  <c r="AI62"/>
  <c r="AI61"/>
  <c r="AI60"/>
  <c r="AI58"/>
  <c r="AI50"/>
  <c r="AI48"/>
  <c r="AI39"/>
  <c r="AI66"/>
  <c r="AI65"/>
  <c r="AI64"/>
  <c r="AI63"/>
  <c r="AI57"/>
  <c r="AI56"/>
  <c r="AI55"/>
  <c r="AI54"/>
  <c r="AI53"/>
  <c r="AI52"/>
  <c r="AI51"/>
  <c r="AI49"/>
  <c r="AI47"/>
  <c r="AI46"/>
  <c r="AI45"/>
  <c r="AI44"/>
  <c r="AI43"/>
  <c r="AI42"/>
  <c r="AI41"/>
  <c r="AI40"/>
  <c r="AI38"/>
  <c r="AI34"/>
  <c r="AI32"/>
  <c r="AI29"/>
  <c r="AI25"/>
  <c r="AI23"/>
  <c r="AI22"/>
  <c r="AI33"/>
  <c r="AI31"/>
  <c r="AI30"/>
  <c r="AI28"/>
  <c r="AI26"/>
  <c r="AI24"/>
  <c r="AI19"/>
  <c r="AH17"/>
  <c r="AH16"/>
  <c r="AI16"/>
  <c r="X150"/>
  <c r="X140"/>
  <c r="X139"/>
  <c r="X138"/>
  <c r="X136"/>
  <c r="X121"/>
  <c r="X120"/>
  <c r="X116"/>
  <c r="X143"/>
  <c r="X141"/>
  <c r="X137"/>
  <c r="X125"/>
  <c r="X122"/>
  <c r="X119"/>
  <c r="X117"/>
  <c r="X92"/>
  <c r="X62"/>
  <c r="X61"/>
  <c r="X60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93"/>
  <c r="X76"/>
  <c r="X142"/>
  <c r="X65"/>
  <c r="X64"/>
  <c r="X63"/>
  <c r="X40"/>
  <c r="X39"/>
  <c r="X38"/>
  <c r="X34"/>
  <c r="X32"/>
  <c r="X31"/>
  <c r="X29"/>
  <c r="X23"/>
  <c r="X22"/>
  <c r="X33"/>
  <c r="X30"/>
  <c r="X28"/>
  <c r="X26"/>
  <c r="X25"/>
  <c r="X24"/>
  <c r="X19"/>
  <c r="W16"/>
  <c r="T145" i="24"/>
  <c r="V145"/>
  <c r="X145"/>
  <c r="Z145"/>
  <c r="C135"/>
  <c r="D131"/>
  <c r="Z36"/>
  <c r="Y37"/>
  <c r="Q129" i="23"/>
  <c r="R129" s="1"/>
  <c r="R21"/>
  <c r="J35"/>
  <c r="Y126"/>
  <c r="W126"/>
  <c r="U126"/>
  <c r="S126"/>
  <c r="S18" i="28"/>
  <c r="AA2"/>
  <c r="AA18"/>
  <c r="O146" i="24"/>
  <c r="O148" s="1"/>
  <c r="P135"/>
  <c r="O3" i="28"/>
  <c r="O37" i="23"/>
  <c r="P37" s="1"/>
  <c r="O158"/>
  <c r="L129"/>
  <c r="K146" i="24"/>
  <c r="K148" s="1"/>
  <c r="L135"/>
  <c r="G145" i="23"/>
  <c r="H129"/>
  <c r="F135" i="24"/>
  <c r="E146"/>
  <c r="E148" s="1"/>
  <c r="E36" i="23"/>
  <c r="F36" s="1"/>
  <c r="C145"/>
  <c r="D145" s="1"/>
  <c r="D129"/>
  <c r="AQ129"/>
  <c r="O129" i="10"/>
  <c r="M36" i="23"/>
  <c r="M3" i="28" s="1"/>
  <c r="N35" i="23"/>
  <c r="L36"/>
  <c r="K37"/>
  <c r="H35"/>
  <c r="G36"/>
  <c r="G3" i="28" s="1"/>
  <c r="AB83" i="23"/>
  <c r="AB115"/>
  <c r="D35"/>
  <c r="C36"/>
  <c r="C3" i="28" s="1"/>
  <c r="N145" i="23"/>
  <c r="M145" i="10"/>
  <c r="L145" i="23"/>
  <c r="K145" i="10"/>
  <c r="AB74" i="23"/>
  <c r="O145"/>
  <c r="P129"/>
  <c r="I145"/>
  <c r="J145" s="1"/>
  <c r="J129"/>
  <c r="E145"/>
  <c r="E145" i="10" s="1"/>
  <c r="F145" s="1"/>
  <c r="F129" i="23"/>
  <c r="AB127"/>
  <c r="AB30"/>
  <c r="AB47"/>
  <c r="AB48"/>
  <c r="AB81"/>
  <c r="AB61"/>
  <c r="AB22"/>
  <c r="AB69"/>
  <c r="AB66"/>
  <c r="AB121"/>
  <c r="AB24"/>
  <c r="AB32"/>
  <c r="AB68"/>
  <c r="AB54"/>
  <c r="AB65"/>
  <c r="AB141"/>
  <c r="AB41"/>
  <c r="AB56"/>
  <c r="AB117"/>
  <c r="AA16"/>
  <c r="AC16"/>
  <c r="AB29"/>
  <c r="AB38"/>
  <c r="AB52"/>
  <c r="AB63"/>
  <c r="AB116"/>
  <c r="AB92"/>
  <c r="AB122"/>
  <c r="AB87"/>
  <c r="AB137"/>
  <c r="AB136"/>
  <c r="AB33"/>
  <c r="AB39"/>
  <c r="AB44"/>
  <c r="AB50"/>
  <c r="AB58"/>
  <c r="AB82"/>
  <c r="AB139"/>
  <c r="AB85"/>
  <c r="AB144"/>
  <c r="AB79"/>
  <c r="AK12"/>
  <c r="AB75"/>
  <c r="AB72"/>
  <c r="AB70"/>
  <c r="AB73"/>
  <c r="AB71"/>
  <c r="AC12"/>
  <c r="AD118"/>
  <c r="AB19"/>
  <c r="AB25"/>
  <c r="AB23"/>
  <c r="AB28"/>
  <c r="AB26"/>
  <c r="AB31"/>
  <c r="AB34"/>
  <c r="AB40"/>
  <c r="AB42"/>
  <c r="AB46"/>
  <c r="AB43"/>
  <c r="AB45"/>
  <c r="AB125"/>
  <c r="AB67"/>
  <c r="AB49"/>
  <c r="AB51"/>
  <c r="AB53"/>
  <c r="AB55"/>
  <c r="AB57"/>
  <c r="AB60"/>
  <c r="AB62"/>
  <c r="AB64"/>
  <c r="AB76"/>
  <c r="AB119"/>
  <c r="AB80"/>
  <c r="AB88"/>
  <c r="AB138"/>
  <c r="AB140"/>
  <c r="AB150"/>
  <c r="AB77"/>
  <c r="AB84"/>
  <c r="AB91"/>
  <c r="AB93"/>
  <c r="AB120"/>
  <c r="AB142"/>
  <c r="AB90"/>
  <c r="AB89"/>
  <c r="AB78"/>
  <c r="AB86"/>
  <c r="AB128"/>
  <c r="AB143"/>
  <c r="X16"/>
  <c r="S21"/>
  <c r="T17"/>
  <c r="AL17"/>
  <c r="AK17" s="1"/>
  <c r="AA17"/>
  <c r="AM17"/>
  <c r="V21"/>
  <c r="Z16"/>
  <c r="Y21"/>
  <c r="Z17"/>
  <c r="V17"/>
  <c r="W21"/>
  <c r="X17"/>
  <c r="AH21"/>
  <c r="AI17"/>
  <c r="T16"/>
  <c r="AM16"/>
  <c r="AL16"/>
  <c r="V16"/>
  <c r="Y131" i="24"/>
  <c r="Z37"/>
  <c r="C146"/>
  <c r="C148" s="1"/>
  <c r="D135"/>
  <c r="Q145" i="23"/>
  <c r="AQ145" s="1"/>
  <c r="AR145" s="1"/>
  <c r="AJ151" i="10"/>
  <c r="E3" i="28"/>
  <c r="O131" i="23"/>
  <c r="O135" s="1"/>
  <c r="P146" i="24"/>
  <c r="O145" i="10"/>
  <c r="O19" i="28"/>
  <c r="L146" i="24"/>
  <c r="H145" i="23"/>
  <c r="F146" i="24"/>
  <c r="E37" i="23"/>
  <c r="F37" s="1"/>
  <c r="AA27"/>
  <c r="Z126"/>
  <c r="Y126" i="10"/>
  <c r="X126" i="23"/>
  <c r="W126" i="10"/>
  <c r="V126" i="23"/>
  <c r="U126" i="10"/>
  <c r="T126" i="23"/>
  <c r="S126" i="10"/>
  <c r="M158" i="23"/>
  <c r="N36"/>
  <c r="K131"/>
  <c r="L37"/>
  <c r="H36"/>
  <c r="G37"/>
  <c r="AD115"/>
  <c r="C37"/>
  <c r="D37" s="1"/>
  <c r="AD121"/>
  <c r="AD74"/>
  <c r="P145"/>
  <c r="AK16"/>
  <c r="AD128"/>
  <c r="AD67"/>
  <c r="AD82"/>
  <c r="AD64"/>
  <c r="AD24"/>
  <c r="AD144"/>
  <c r="AD23"/>
  <c r="AD77"/>
  <c r="AD61"/>
  <c r="AD79"/>
  <c r="AD137"/>
  <c r="AD32"/>
  <c r="AD40"/>
  <c r="AD78"/>
  <c r="AJ12"/>
  <c r="AD19"/>
  <c r="AD28"/>
  <c r="AD33"/>
  <c r="AD58"/>
  <c r="AD140"/>
  <c r="AD42"/>
  <c r="AD50"/>
  <c r="AD38"/>
  <c r="AD89"/>
  <c r="AD141"/>
  <c r="AD85"/>
  <c r="AD119"/>
  <c r="AD29"/>
  <c r="AD34"/>
  <c r="AD22"/>
  <c r="AD26"/>
  <c r="AD30"/>
  <c r="AD48"/>
  <c r="AD60"/>
  <c r="AD63"/>
  <c r="AD46"/>
  <c r="AD45"/>
  <c r="AD66"/>
  <c r="AD93"/>
  <c r="AD62"/>
  <c r="AD65"/>
  <c r="AD41"/>
  <c r="AD87"/>
  <c r="AD125"/>
  <c r="AD83"/>
  <c r="AD142"/>
  <c r="AD81"/>
  <c r="AD116"/>
  <c r="AD139"/>
  <c r="AD150"/>
  <c r="AD136"/>
  <c r="AD92"/>
  <c r="AD90"/>
  <c r="AD75"/>
  <c r="AD73"/>
  <c r="AD71"/>
  <c r="AD72"/>
  <c r="AD70"/>
  <c r="AD138"/>
  <c r="S129"/>
  <c r="S129" i="10" s="1"/>
  <c r="T129" s="1"/>
  <c r="AM126" i="23"/>
  <c r="AL126"/>
  <c r="AA126"/>
  <c r="X21"/>
  <c r="Y129"/>
  <c r="Y145" s="1"/>
  <c r="AC17"/>
  <c r="AA21"/>
  <c r="AB21" s="1"/>
  <c r="AB17"/>
  <c r="W129"/>
  <c r="W129" i="10" s="1"/>
  <c r="X129" s="1"/>
  <c r="U129" i="23"/>
  <c r="U129" i="10" s="1"/>
  <c r="V129" s="1"/>
  <c r="Z21" i="23"/>
  <c r="T21"/>
  <c r="AL21"/>
  <c r="AM21"/>
  <c r="Y135" i="24"/>
  <c r="Z135" s="1"/>
  <c r="Z131"/>
  <c r="D146"/>
  <c r="AB16" i="23"/>
  <c r="AD16"/>
  <c r="AJ16"/>
  <c r="AI150" i="10"/>
  <c r="Y162"/>
  <c r="W162"/>
  <c r="U162"/>
  <c r="S162"/>
  <c r="Q162"/>
  <c r="O162"/>
  <c r="M162"/>
  <c r="K162"/>
  <c r="I162"/>
  <c r="G162"/>
  <c r="E162"/>
  <c r="C162"/>
  <c r="AJ149"/>
  <c r="AI148"/>
  <c r="P131" i="23"/>
  <c r="O131" i="10"/>
  <c r="E131" i="23"/>
  <c r="E131" i="10" s="1"/>
  <c r="F131" s="1"/>
  <c r="AA126"/>
  <c r="AC126"/>
  <c r="K131"/>
  <c r="K135" i="23"/>
  <c r="K146" s="1"/>
  <c r="K148" s="1"/>
  <c r="L131"/>
  <c r="G131"/>
  <c r="H131" s="1"/>
  <c r="H37"/>
  <c r="X129"/>
  <c r="AJ17"/>
  <c r="AD17"/>
  <c r="S145"/>
  <c r="S145" i="10" s="1"/>
  <c r="AM129" i="23"/>
  <c r="V129"/>
  <c r="U145"/>
  <c r="V145" s="1"/>
  <c r="AB126"/>
  <c r="AK126"/>
  <c r="AC126"/>
  <c r="AA129"/>
  <c r="AB129" s="1"/>
  <c r="AL149" i="10"/>
  <c r="AK149"/>
  <c r="Y146" i="24"/>
  <c r="Y148" s="1"/>
  <c r="AA162" i="10"/>
  <c r="AL151"/>
  <c r="AK151"/>
  <c r="AL150"/>
  <c r="AJ147"/>
  <c r="K135"/>
  <c r="L135" i="23"/>
  <c r="AI21"/>
  <c r="AJ126"/>
  <c r="AD126"/>
  <c r="Z146" i="24"/>
  <c r="AM147" i="10"/>
  <c r="AK150"/>
  <c r="AL147"/>
  <c r="AK147"/>
  <c r="AI145"/>
  <c r="AH145"/>
  <c r="AI144"/>
  <c r="AH144"/>
  <c r="AI143"/>
  <c r="AH143"/>
  <c r="AL143"/>
  <c r="AM143"/>
  <c r="AN143"/>
  <c r="AI142"/>
  <c r="AJ143"/>
  <c r="AK143"/>
  <c r="Q164"/>
  <c r="I164"/>
  <c r="AI141"/>
  <c r="AI140"/>
  <c r="AI139"/>
  <c r="AI138"/>
  <c r="AI137"/>
  <c r="AI136"/>
  <c r="AM136"/>
  <c r="AN136"/>
  <c r="AM137"/>
  <c r="AN137"/>
  <c r="AM139"/>
  <c r="AN139"/>
  <c r="AL141"/>
  <c r="AM140"/>
  <c r="AN140"/>
  <c r="AL137"/>
  <c r="E164"/>
  <c r="E166"/>
  <c r="M164"/>
  <c r="M166"/>
  <c r="U164"/>
  <c r="U166"/>
  <c r="AL136"/>
  <c r="AL140"/>
  <c r="AM138"/>
  <c r="AN138"/>
  <c r="AL139"/>
  <c r="C164"/>
  <c r="C166"/>
  <c r="G164"/>
  <c r="G166"/>
  <c r="K164"/>
  <c r="K166"/>
  <c r="O164"/>
  <c r="O166"/>
  <c r="S164"/>
  <c r="S166"/>
  <c r="W164"/>
  <c r="AL138"/>
  <c r="AK139"/>
  <c r="AK140"/>
  <c r="AJ139"/>
  <c r="AJ140"/>
  <c r="AK136"/>
  <c r="AJ136"/>
  <c r="AK137"/>
  <c r="AK138"/>
  <c r="AK141"/>
  <c r="AJ141"/>
  <c r="AJ137"/>
  <c r="AJ134"/>
  <c r="AJ132"/>
  <c r="AL132"/>
  <c r="AK132"/>
  <c r="AM134"/>
  <c r="AN134"/>
  <c r="AL134"/>
  <c r="AK134"/>
  <c r="AM132"/>
  <c r="AN132"/>
  <c r="AM133"/>
  <c r="AN133"/>
  <c r="AL133"/>
  <c r="AJ130"/>
  <c r="AI129"/>
  <c r="AH129"/>
  <c r="AM130"/>
  <c r="AN130"/>
  <c r="AK133"/>
  <c r="AJ133"/>
  <c r="AL130"/>
  <c r="AK130"/>
  <c r="AI128"/>
  <c r="AI127"/>
  <c r="AI126"/>
  <c r="AI125"/>
  <c r="AI122"/>
  <c r="AI121"/>
  <c r="AI120"/>
  <c r="AI119"/>
  <c r="AI117"/>
  <c r="AI116"/>
  <c r="AI115"/>
  <c r="AH115"/>
  <c r="AI107"/>
  <c r="AI105"/>
  <c r="AI104"/>
  <c r="AI103"/>
  <c r="AI102"/>
  <c r="AI101"/>
  <c r="AI99"/>
  <c r="AI98"/>
  <c r="AI97"/>
  <c r="AI96"/>
  <c r="AI95"/>
  <c r="AI94"/>
  <c r="AI93"/>
  <c r="AH93"/>
  <c r="AI92"/>
  <c r="AI91"/>
  <c r="AM116"/>
  <c r="AN116"/>
  <c r="AM101"/>
  <c r="AN101"/>
  <c r="AM95"/>
  <c r="AN95"/>
  <c r="AM119"/>
  <c r="AN119"/>
  <c r="AM123"/>
  <c r="AN123"/>
  <c r="AM124"/>
  <c r="AN124"/>
  <c r="AM125"/>
  <c r="AN125"/>
  <c r="AL128"/>
  <c r="AL107"/>
  <c r="AM122"/>
  <c r="AN122"/>
  <c r="AL123"/>
  <c r="AL124"/>
  <c r="AM128"/>
  <c r="AN128"/>
  <c r="AL125"/>
  <c r="AL105"/>
  <c r="AL96"/>
  <c r="AM107"/>
  <c r="AN107"/>
  <c r="AL119"/>
  <c r="AJ128"/>
  <c r="AM99"/>
  <c r="AN99"/>
  <c r="AL101"/>
  <c r="AM127"/>
  <c r="AN127"/>
  <c r="AM121"/>
  <c r="AN121"/>
  <c r="AM105"/>
  <c r="AN105"/>
  <c r="AM103"/>
  <c r="AN103"/>
  <c r="AL103"/>
  <c r="AM91"/>
  <c r="AN91"/>
  <c r="AM117"/>
  <c r="AN117" s="1"/>
  <c r="AL97"/>
  <c r="AM92"/>
  <c r="AN92"/>
  <c r="AM94"/>
  <c r="AN94"/>
  <c r="AM96"/>
  <c r="AN96"/>
  <c r="AM97"/>
  <c r="AN97"/>
  <c r="AL94"/>
  <c r="AL92"/>
  <c r="AM98"/>
  <c r="AN98"/>
  <c r="AL99"/>
  <c r="AM102"/>
  <c r="AN102"/>
  <c r="AL122"/>
  <c r="AL127"/>
  <c r="AL91"/>
  <c r="AL95"/>
  <c r="AL98"/>
  <c r="AL102"/>
  <c r="AM104"/>
  <c r="AN104"/>
  <c r="AM115"/>
  <c r="AN115"/>
  <c r="AL116"/>
  <c r="AM120"/>
  <c r="AN120"/>
  <c r="AL121"/>
  <c r="AL104"/>
  <c r="AL115"/>
  <c r="AL120"/>
  <c r="AI90"/>
  <c r="AI89"/>
  <c r="AI88"/>
  <c r="AI87"/>
  <c r="AI86"/>
  <c r="AI85"/>
  <c r="AI84"/>
  <c r="AI83"/>
  <c r="AI82"/>
  <c r="AI81"/>
  <c r="AI80"/>
  <c r="AI79"/>
  <c r="AI78"/>
  <c r="AI77"/>
  <c r="AK123"/>
  <c r="AK116"/>
  <c r="AK105"/>
  <c r="AJ116"/>
  <c r="AK95"/>
  <c r="AJ95"/>
  <c r="AK124"/>
  <c r="AM84"/>
  <c r="AN84"/>
  <c r="AM90"/>
  <c r="AN90"/>
  <c r="AM80"/>
  <c r="AN80"/>
  <c r="AL80"/>
  <c r="AL84"/>
  <c r="AK99"/>
  <c r="AJ99"/>
  <c r="AK122"/>
  <c r="AK128"/>
  <c r="AM86"/>
  <c r="AN86"/>
  <c r="AL82"/>
  <c r="AM82"/>
  <c r="AN82"/>
  <c r="AL78"/>
  <c r="AM78"/>
  <c r="AN78"/>
  <c r="AL90"/>
  <c r="AL88"/>
  <c r="AM88"/>
  <c r="AN88"/>
  <c r="AK121"/>
  <c r="AK91"/>
  <c r="AM83"/>
  <c r="AN83"/>
  <c r="AM79"/>
  <c r="AN79"/>
  <c r="AM87"/>
  <c r="AN87"/>
  <c r="AL86"/>
  <c r="AK127"/>
  <c r="AK96"/>
  <c r="AK103"/>
  <c r="AK119"/>
  <c r="AK120"/>
  <c r="AK102"/>
  <c r="AJ102"/>
  <c r="AL87"/>
  <c r="AM77"/>
  <c r="AN77"/>
  <c r="AM81"/>
  <c r="AN81"/>
  <c r="AM85"/>
  <c r="AN85"/>
  <c r="AM89"/>
  <c r="AN89"/>
  <c r="AJ105"/>
  <c r="AL77"/>
  <c r="AL81"/>
  <c r="AL85"/>
  <c r="AL89"/>
  <c r="AJ124"/>
  <c r="AK107"/>
  <c r="AK104"/>
  <c r="AK94"/>
  <c r="AK115"/>
  <c r="AK92"/>
  <c r="AK125"/>
  <c r="AK101"/>
  <c r="AK98"/>
  <c r="AK97"/>
  <c r="AJ97"/>
  <c r="AL79"/>
  <c r="AL83"/>
  <c r="AJ123"/>
  <c r="AI76"/>
  <c r="AH76"/>
  <c r="AJ92"/>
  <c r="AJ96"/>
  <c r="AJ125"/>
  <c r="AK86"/>
  <c r="AK78"/>
  <c r="AK90"/>
  <c r="AK83"/>
  <c r="AJ94"/>
  <c r="AJ119"/>
  <c r="AK82"/>
  <c r="AK79"/>
  <c r="AK87"/>
  <c r="AK85"/>
  <c r="AK89"/>
  <c r="AJ82"/>
  <c r="AK84"/>
  <c r="AK77"/>
  <c r="AK80"/>
  <c r="AK81"/>
  <c r="AK88"/>
  <c r="AJ98"/>
  <c r="AJ107"/>
  <c r="AJ101"/>
  <c r="AJ103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J81"/>
  <c r="AJ89"/>
  <c r="AM54"/>
  <c r="AN54"/>
  <c r="AL58"/>
  <c r="AK58"/>
  <c r="AM58"/>
  <c r="AN58"/>
  <c r="AM60"/>
  <c r="AN60"/>
  <c r="AM64"/>
  <c r="AN64"/>
  <c r="AM50"/>
  <c r="AN50"/>
  <c r="AL48"/>
  <c r="AM46"/>
  <c r="AN46"/>
  <c r="AL50"/>
  <c r="AL60"/>
  <c r="AL64"/>
  <c r="AL54"/>
  <c r="AM63"/>
  <c r="AN63"/>
  <c r="AM67"/>
  <c r="AN67"/>
  <c r="AM48"/>
  <c r="AN48"/>
  <c r="AM69"/>
  <c r="AN69"/>
  <c r="AL52"/>
  <c r="AM51"/>
  <c r="AN51"/>
  <c r="AM52"/>
  <c r="AN52"/>
  <c r="AM66"/>
  <c r="AN66"/>
  <c r="AM62"/>
  <c r="AN62"/>
  <c r="AM47"/>
  <c r="AN47"/>
  <c r="AM55"/>
  <c r="AN55"/>
  <c r="AM59"/>
  <c r="AN59" s="1"/>
  <c r="AM68"/>
  <c r="AN68"/>
  <c r="AL68"/>
  <c r="AL66"/>
  <c r="AL62"/>
  <c r="AL56"/>
  <c r="AM56"/>
  <c r="AN56"/>
  <c r="AL51"/>
  <c r="AL46"/>
  <c r="AL63"/>
  <c r="AM49"/>
  <c r="AN49"/>
  <c r="AM53"/>
  <c r="AN53"/>
  <c r="AM57"/>
  <c r="AN57"/>
  <c r="AL49"/>
  <c r="AL53"/>
  <c r="AL57"/>
  <c r="AL61"/>
  <c r="AL65"/>
  <c r="AL69"/>
  <c r="AL47"/>
  <c r="AL55"/>
  <c r="AL59"/>
  <c r="AL67"/>
  <c r="AM61"/>
  <c r="AN61"/>
  <c r="AM65"/>
  <c r="AN65"/>
  <c r="AJ80"/>
  <c r="AI44"/>
  <c r="AI43"/>
  <c r="AI42"/>
  <c r="Y42"/>
  <c r="W42"/>
  <c r="U42"/>
  <c r="S42"/>
  <c r="Q42"/>
  <c r="O42"/>
  <c r="M42"/>
  <c r="K42"/>
  <c r="I42"/>
  <c r="G42"/>
  <c r="E42"/>
  <c r="C42"/>
  <c r="D42" s="1"/>
  <c r="AI41"/>
  <c r="AI40"/>
  <c r="Y40"/>
  <c r="W40"/>
  <c r="U40"/>
  <c r="S40"/>
  <c r="Q40"/>
  <c r="O40"/>
  <c r="M40"/>
  <c r="K40"/>
  <c r="I40"/>
  <c r="G40"/>
  <c r="E40"/>
  <c r="C40"/>
  <c r="AI39"/>
  <c r="Y39"/>
  <c r="W39"/>
  <c r="U39"/>
  <c r="S39"/>
  <c r="Q39"/>
  <c r="O39"/>
  <c r="M39"/>
  <c r="K39"/>
  <c r="I39"/>
  <c r="G39"/>
  <c r="E39"/>
  <c r="C39"/>
  <c r="AI38"/>
  <c r="Y38"/>
  <c r="W38"/>
  <c r="U38"/>
  <c r="S38"/>
  <c r="Q38"/>
  <c r="O38"/>
  <c r="M38"/>
  <c r="K38"/>
  <c r="I38"/>
  <c r="G38"/>
  <c r="E38"/>
  <c r="C38"/>
  <c r="AK50"/>
  <c r="AJ58"/>
  <c r="AK62"/>
  <c r="AK54"/>
  <c r="AL39"/>
  <c r="AK63"/>
  <c r="AJ63"/>
  <c r="AJ54"/>
  <c r="AK67"/>
  <c r="AJ67"/>
  <c r="AM39"/>
  <c r="AN39"/>
  <c r="AK46"/>
  <c r="AM38"/>
  <c r="AN38"/>
  <c r="AL40"/>
  <c r="AA39"/>
  <c r="AC39"/>
  <c r="AJ39"/>
  <c r="AM40"/>
  <c r="AN40"/>
  <c r="AM44"/>
  <c r="AN44"/>
  <c r="AK47"/>
  <c r="AK66"/>
  <c r="AM43"/>
  <c r="AN43"/>
  <c r="AK51"/>
  <c r="AM45"/>
  <c r="AN45"/>
  <c r="AK55"/>
  <c r="AL43"/>
  <c r="AK56"/>
  <c r="AL45"/>
  <c r="AJ69"/>
  <c r="AK69"/>
  <c r="AK49"/>
  <c r="AK48"/>
  <c r="AK53"/>
  <c r="AL44"/>
  <c r="AA38"/>
  <c r="AA40"/>
  <c r="AL38"/>
  <c r="AL42"/>
  <c r="AJ46"/>
  <c r="AK65"/>
  <c r="AK64"/>
  <c r="AK57"/>
  <c r="AK68"/>
  <c r="AK52"/>
  <c r="AK61"/>
  <c r="AK60"/>
  <c r="AA42"/>
  <c r="AM42"/>
  <c r="AN42" s="1"/>
  <c r="E37"/>
  <c r="AK44"/>
  <c r="AJ44"/>
  <c r="AK39"/>
  <c r="AJ48"/>
  <c r="AJ64"/>
  <c r="AJ49"/>
  <c r="AK43"/>
  <c r="AK38"/>
  <c r="AC38"/>
  <c r="AJ38"/>
  <c r="AA41"/>
  <c r="AK40"/>
  <c r="AK45"/>
  <c r="AJ60"/>
  <c r="AJ61"/>
  <c r="O36"/>
  <c r="E36"/>
  <c r="C36"/>
  <c r="O35"/>
  <c r="M35"/>
  <c r="K35"/>
  <c r="I35"/>
  <c r="G35"/>
  <c r="E35"/>
  <c r="C35"/>
  <c r="AI34"/>
  <c r="Y34"/>
  <c r="W34"/>
  <c r="U34"/>
  <c r="S34"/>
  <c r="Q34"/>
  <c r="O34"/>
  <c r="M34"/>
  <c r="K34"/>
  <c r="I34"/>
  <c r="G34"/>
  <c r="E34"/>
  <c r="C34"/>
  <c r="AI33"/>
  <c r="Y33"/>
  <c r="W33"/>
  <c r="U33"/>
  <c r="S33"/>
  <c r="Q33"/>
  <c r="O33"/>
  <c r="M33"/>
  <c r="K33"/>
  <c r="I33"/>
  <c r="G33"/>
  <c r="E33"/>
  <c r="C33"/>
  <c r="AI32"/>
  <c r="Y32"/>
  <c r="W32"/>
  <c r="U32"/>
  <c r="S32"/>
  <c r="Q32"/>
  <c r="O32"/>
  <c r="M32"/>
  <c r="K32"/>
  <c r="I32"/>
  <c r="G32"/>
  <c r="E32"/>
  <c r="C32"/>
  <c r="AI31"/>
  <c r="Y31"/>
  <c r="W31"/>
  <c r="U31"/>
  <c r="S31"/>
  <c r="Q31"/>
  <c r="O31"/>
  <c r="M31"/>
  <c r="K31"/>
  <c r="I31"/>
  <c r="G31"/>
  <c r="E31"/>
  <c r="C31"/>
  <c r="AI30"/>
  <c r="Y30"/>
  <c r="W30"/>
  <c r="U30"/>
  <c r="S30"/>
  <c r="Q30"/>
  <c r="O30"/>
  <c r="M30"/>
  <c r="K30"/>
  <c r="I30"/>
  <c r="G30"/>
  <c r="E30"/>
  <c r="C30"/>
  <c r="AI29"/>
  <c r="Y29"/>
  <c r="W29"/>
  <c r="U29"/>
  <c r="S29"/>
  <c r="Q29"/>
  <c r="O29"/>
  <c r="M29"/>
  <c r="K29"/>
  <c r="I29"/>
  <c r="G29"/>
  <c r="E29"/>
  <c r="C29"/>
  <c r="AI28"/>
  <c r="Y28"/>
  <c r="W28"/>
  <c r="U28"/>
  <c r="S28"/>
  <c r="Q28"/>
  <c r="O28"/>
  <c r="M28"/>
  <c r="K28"/>
  <c r="I28"/>
  <c r="G28"/>
  <c r="E28"/>
  <c r="C28"/>
  <c r="O27"/>
  <c r="K27"/>
  <c r="I27"/>
  <c r="G27"/>
  <c r="C27"/>
  <c r="AI26"/>
  <c r="Y26"/>
  <c r="W26"/>
  <c r="U26"/>
  <c r="S26"/>
  <c r="Q26"/>
  <c r="O26"/>
  <c r="M26"/>
  <c r="K26"/>
  <c r="I26"/>
  <c r="G26"/>
  <c r="E26"/>
  <c r="C26"/>
  <c r="AI25"/>
  <c r="Y25"/>
  <c r="W25"/>
  <c r="U25"/>
  <c r="S25"/>
  <c r="Q25"/>
  <c r="O25"/>
  <c r="M25"/>
  <c r="K25"/>
  <c r="I25"/>
  <c r="G25"/>
  <c r="E25"/>
  <c r="C25"/>
  <c r="AI24"/>
  <c r="Y24"/>
  <c r="W24"/>
  <c r="U24"/>
  <c r="S24"/>
  <c r="Q24"/>
  <c r="O24"/>
  <c r="M24"/>
  <c r="K24"/>
  <c r="I24"/>
  <c r="G24"/>
  <c r="E24"/>
  <c r="C24"/>
  <c r="AI23"/>
  <c r="Y23"/>
  <c r="W23"/>
  <c r="U23"/>
  <c r="S23"/>
  <c r="Q23"/>
  <c r="O23"/>
  <c r="M23"/>
  <c r="K23"/>
  <c r="I23"/>
  <c r="G23"/>
  <c r="E23"/>
  <c r="C23"/>
  <c r="AI22"/>
  <c r="Y22"/>
  <c r="W22"/>
  <c r="U22"/>
  <c r="S22"/>
  <c r="Q22"/>
  <c r="O22"/>
  <c r="M22"/>
  <c r="K22"/>
  <c r="I22"/>
  <c r="G22"/>
  <c r="E22"/>
  <c r="C22"/>
  <c r="AI21"/>
  <c r="AH21"/>
  <c r="Y21"/>
  <c r="W21"/>
  <c r="S21"/>
  <c r="O21"/>
  <c r="M21"/>
  <c r="I21"/>
  <c r="G21"/>
  <c r="E21"/>
  <c r="C21"/>
  <c r="Y20"/>
  <c r="W20"/>
  <c r="U20"/>
  <c r="S20"/>
  <c r="Q20"/>
  <c r="O20"/>
  <c r="M20"/>
  <c r="K20"/>
  <c r="I20"/>
  <c r="G20"/>
  <c r="E20"/>
  <c r="C20"/>
  <c r="AI19"/>
  <c r="Y19"/>
  <c r="W19"/>
  <c r="U19"/>
  <c r="S19"/>
  <c r="Q19"/>
  <c r="O19"/>
  <c r="M19"/>
  <c r="K19"/>
  <c r="I19"/>
  <c r="G19"/>
  <c r="E19"/>
  <c r="C19"/>
  <c r="Y18"/>
  <c r="W18"/>
  <c r="U18"/>
  <c r="S18"/>
  <c r="Q18"/>
  <c r="O18"/>
  <c r="M18"/>
  <c r="K18"/>
  <c r="I18"/>
  <c r="G18"/>
  <c r="E18"/>
  <c r="C18"/>
  <c r="AI17"/>
  <c r="AH17"/>
  <c r="Y17"/>
  <c r="W17"/>
  <c r="U17"/>
  <c r="S17"/>
  <c r="Q17"/>
  <c r="O17"/>
  <c r="M17"/>
  <c r="K17"/>
  <c r="I17"/>
  <c r="G17"/>
  <c r="E17"/>
  <c r="C17"/>
  <c r="AI16"/>
  <c r="AH16"/>
  <c r="Y16"/>
  <c r="W16"/>
  <c r="U16"/>
  <c r="S16"/>
  <c r="Q16"/>
  <c r="O16"/>
  <c r="M16"/>
  <c r="K16"/>
  <c r="I16"/>
  <c r="G16"/>
  <c r="E16"/>
  <c r="C16"/>
  <c r="AM30"/>
  <c r="AN30"/>
  <c r="AM34"/>
  <c r="AN34"/>
  <c r="AM26"/>
  <c r="AN26"/>
  <c r="AL29"/>
  <c r="AL30"/>
  <c r="AM29"/>
  <c r="AN29"/>
  <c r="AM20"/>
  <c r="AN20"/>
  <c r="AM24"/>
  <c r="AN24"/>
  <c r="AM32"/>
  <c r="AN32"/>
  <c r="AM18"/>
  <c r="AN18"/>
  <c r="AM22"/>
  <c r="AN22"/>
  <c r="AA24"/>
  <c r="AC24"/>
  <c r="AA32"/>
  <c r="AC32"/>
  <c r="AM33"/>
  <c r="AN33"/>
  <c r="AA18"/>
  <c r="AL22"/>
  <c r="AA33"/>
  <c r="AC33"/>
  <c r="AL18"/>
  <c r="AL20"/>
  <c r="AL26"/>
  <c r="AA29"/>
  <c r="AL34"/>
  <c r="AM25"/>
  <c r="AN25" s="1"/>
  <c r="AM19"/>
  <c r="AN19"/>
  <c r="AA19"/>
  <c r="AM16"/>
  <c r="AN16"/>
  <c r="AC29"/>
  <c r="AJ29"/>
  <c r="AL16"/>
  <c r="AL17"/>
  <c r="AA23"/>
  <c r="AL25"/>
  <c r="AA28"/>
  <c r="AA31"/>
  <c r="AL33"/>
  <c r="AL19"/>
  <c r="AM23"/>
  <c r="AN23"/>
  <c r="AL24"/>
  <c r="AA26"/>
  <c r="AM28"/>
  <c r="AN28"/>
  <c r="AA30"/>
  <c r="AM31"/>
  <c r="AN31"/>
  <c r="AL32"/>
  <c r="AA34"/>
  <c r="AA20"/>
  <c r="AA22"/>
  <c r="AL23"/>
  <c r="AL28"/>
  <c r="AL31"/>
  <c r="C15"/>
  <c r="Y14"/>
  <c r="W14"/>
  <c r="U14"/>
  <c r="S14"/>
  <c r="Q14"/>
  <c r="O14"/>
  <c r="M14"/>
  <c r="K14"/>
  <c r="I14"/>
  <c r="G14"/>
  <c r="E14"/>
  <c r="C14"/>
  <c r="Y13"/>
  <c r="W13"/>
  <c r="U13"/>
  <c r="S13"/>
  <c r="Q13"/>
  <c r="O13"/>
  <c r="M13"/>
  <c r="K13"/>
  <c r="I13"/>
  <c r="G13"/>
  <c r="E13"/>
  <c r="C13"/>
  <c r="AH12"/>
  <c r="Y12"/>
  <c r="Z118"/>
  <c r="W12"/>
  <c r="X118"/>
  <c r="U12"/>
  <c r="V118"/>
  <c r="S12"/>
  <c r="T118"/>
  <c r="Q12"/>
  <c r="R118"/>
  <c r="O12"/>
  <c r="P118"/>
  <c r="M12"/>
  <c r="N118"/>
  <c r="K12"/>
  <c r="L118"/>
  <c r="I12"/>
  <c r="J118"/>
  <c r="G12"/>
  <c r="H118"/>
  <c r="E12"/>
  <c r="F118"/>
  <c r="AI11"/>
  <c r="Y11"/>
  <c r="W11"/>
  <c r="U11"/>
  <c r="S11"/>
  <c r="Q11"/>
  <c r="O11"/>
  <c r="M11"/>
  <c r="K11"/>
  <c r="I11"/>
  <c r="G11"/>
  <c r="E11"/>
  <c r="C11"/>
  <c r="AH10"/>
  <c r="Y10"/>
  <c r="W10"/>
  <c r="U10"/>
  <c r="S10"/>
  <c r="Q10"/>
  <c r="O10"/>
  <c r="M10"/>
  <c r="K10"/>
  <c r="I10"/>
  <c r="G10"/>
  <c r="E10"/>
  <c r="C10"/>
  <c r="AI9"/>
  <c r="AH9"/>
  <c r="Y9"/>
  <c r="W9"/>
  <c r="U9"/>
  <c r="S9"/>
  <c r="Q9"/>
  <c r="O9"/>
  <c r="M9"/>
  <c r="K9"/>
  <c r="I9"/>
  <c r="G9"/>
  <c r="E9"/>
  <c r="C9"/>
  <c r="AI8"/>
  <c r="Y8"/>
  <c r="W8"/>
  <c r="U8"/>
  <c r="S8"/>
  <c r="Q8"/>
  <c r="O8"/>
  <c r="M8"/>
  <c r="K8"/>
  <c r="I8"/>
  <c r="G8"/>
  <c r="E8"/>
  <c r="C8"/>
  <c r="AI7"/>
  <c r="Y7"/>
  <c r="W7"/>
  <c r="U7"/>
  <c r="S7"/>
  <c r="Q7"/>
  <c r="O7"/>
  <c r="M7"/>
  <c r="K7"/>
  <c r="I7"/>
  <c r="G7"/>
  <c r="E7"/>
  <c r="C7"/>
  <c r="AI6"/>
  <c r="Y6"/>
  <c r="W6"/>
  <c r="U6"/>
  <c r="S6"/>
  <c r="Q6"/>
  <c r="O6"/>
  <c r="M6"/>
  <c r="K6"/>
  <c r="I6"/>
  <c r="G6"/>
  <c r="E6"/>
  <c r="C6"/>
  <c r="AH5"/>
  <c r="Y5"/>
  <c r="W5"/>
  <c r="U5"/>
  <c r="S5"/>
  <c r="Q5"/>
  <c r="O5"/>
  <c r="M5"/>
  <c r="K5"/>
  <c r="I5"/>
  <c r="J9"/>
  <c r="G5"/>
  <c r="E5"/>
  <c r="C5"/>
  <c r="AN138" i="19"/>
  <c r="AM138"/>
  <c r="Y138"/>
  <c r="W138"/>
  <c r="U138"/>
  <c r="S138"/>
  <c r="Q138"/>
  <c r="O138"/>
  <c r="M138"/>
  <c r="K138"/>
  <c r="I138"/>
  <c r="G138"/>
  <c r="E138"/>
  <c r="C138"/>
  <c r="AJ136"/>
  <c r="AI136"/>
  <c r="AH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J135"/>
  <c r="AJ134"/>
  <c r="AI134"/>
  <c r="AD134"/>
  <c r="AC134"/>
  <c r="AB134"/>
  <c r="AA134"/>
  <c r="Z134"/>
  <c r="X134"/>
  <c r="V134"/>
  <c r="T134"/>
  <c r="R134"/>
  <c r="P134"/>
  <c r="N134"/>
  <c r="L134"/>
  <c r="J134"/>
  <c r="H134"/>
  <c r="F134"/>
  <c r="D134"/>
  <c r="AJ133"/>
  <c r="AJ132"/>
  <c r="AI132"/>
  <c r="AD132"/>
  <c r="AC132"/>
  <c r="AB132"/>
  <c r="AA132"/>
  <c r="Z132"/>
  <c r="X132"/>
  <c r="V132"/>
  <c r="T132"/>
  <c r="R132"/>
  <c r="P132"/>
  <c r="N132"/>
  <c r="L132"/>
  <c r="J132"/>
  <c r="H132"/>
  <c r="F132"/>
  <c r="D132"/>
  <c r="AN131"/>
  <c r="AM131"/>
  <c r="AJ131"/>
  <c r="AN130"/>
  <c r="AM130"/>
  <c r="AJ130"/>
  <c r="AI130"/>
  <c r="AH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N129"/>
  <c r="AM129"/>
  <c r="AJ129"/>
  <c r="AI129"/>
  <c r="AH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N128"/>
  <c r="AM128"/>
  <c r="AJ128"/>
  <c r="AI128"/>
  <c r="AH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N127"/>
  <c r="AM127"/>
  <c r="AJ127"/>
  <c r="AI127"/>
  <c r="AH127"/>
  <c r="AD127"/>
  <c r="AC127"/>
  <c r="AB127"/>
  <c r="AA127"/>
  <c r="Z127"/>
  <c r="X127"/>
  <c r="V127"/>
  <c r="T127"/>
  <c r="R127"/>
  <c r="P127"/>
  <c r="N127"/>
  <c r="L127"/>
  <c r="J127"/>
  <c r="H127"/>
  <c r="F127"/>
  <c r="D127"/>
  <c r="AN126"/>
  <c r="AM126"/>
  <c r="AJ126"/>
  <c r="AI126"/>
  <c r="AD126"/>
  <c r="AB126"/>
  <c r="AA126"/>
  <c r="Z126"/>
  <c r="X126"/>
  <c r="V126"/>
  <c r="T126"/>
  <c r="R126"/>
  <c r="P126"/>
  <c r="N126"/>
  <c r="L126"/>
  <c r="J126"/>
  <c r="H126"/>
  <c r="F126"/>
  <c r="D126"/>
  <c r="AJ125"/>
  <c r="AI125"/>
  <c r="AD125"/>
  <c r="AB125"/>
  <c r="AA125"/>
  <c r="Z125"/>
  <c r="X125"/>
  <c r="V125"/>
  <c r="T125"/>
  <c r="R125"/>
  <c r="P125"/>
  <c r="N125"/>
  <c r="L125"/>
  <c r="J125"/>
  <c r="H125"/>
  <c r="F125"/>
  <c r="D125"/>
  <c r="AN124"/>
  <c r="AM124"/>
  <c r="AJ124"/>
  <c r="AI124"/>
  <c r="AD124"/>
  <c r="AB124"/>
  <c r="AA124"/>
  <c r="Z124"/>
  <c r="X124"/>
  <c r="V124"/>
  <c r="T124"/>
  <c r="R124"/>
  <c r="P124"/>
  <c r="N124"/>
  <c r="L124"/>
  <c r="J124"/>
  <c r="H124"/>
  <c r="F124"/>
  <c r="D124"/>
  <c r="AN123"/>
  <c r="AM123"/>
  <c r="AJ123"/>
  <c r="AI123"/>
  <c r="AD123"/>
  <c r="AB123"/>
  <c r="AA123"/>
  <c r="Z123"/>
  <c r="X123"/>
  <c r="V123"/>
  <c r="T123"/>
  <c r="R123"/>
  <c r="P123"/>
  <c r="N123"/>
  <c r="L123"/>
  <c r="J123"/>
  <c r="H123"/>
  <c r="F123"/>
  <c r="D123"/>
  <c r="AO122"/>
  <c r="AN122"/>
  <c r="AM122"/>
  <c r="AJ122"/>
  <c r="AI122"/>
  <c r="AD122"/>
  <c r="AB122"/>
  <c r="AA122"/>
  <c r="Z122"/>
  <c r="X122"/>
  <c r="V122"/>
  <c r="T122"/>
  <c r="R122"/>
  <c r="P122"/>
  <c r="N122"/>
  <c r="L122"/>
  <c r="J122"/>
  <c r="H122"/>
  <c r="F122"/>
  <c r="D122"/>
  <c r="AO121"/>
  <c r="AN121"/>
  <c r="AM121"/>
  <c r="AJ121"/>
  <c r="AI121"/>
  <c r="AD121"/>
  <c r="AB121"/>
  <c r="AA121"/>
  <c r="Z121"/>
  <c r="X121"/>
  <c r="V121"/>
  <c r="T121"/>
  <c r="R121"/>
  <c r="P121"/>
  <c r="N121"/>
  <c r="L121"/>
  <c r="J121"/>
  <c r="H121"/>
  <c r="F121"/>
  <c r="D121"/>
  <c r="AN120"/>
  <c r="AM120"/>
  <c r="AJ120"/>
  <c r="AI120"/>
  <c r="AD120"/>
  <c r="AB120"/>
  <c r="AA120"/>
  <c r="Z120"/>
  <c r="X120"/>
  <c r="V120"/>
  <c r="T120"/>
  <c r="R120"/>
  <c r="P120"/>
  <c r="N120"/>
  <c r="L120"/>
  <c r="J120"/>
  <c r="H120"/>
  <c r="F120"/>
  <c r="D120"/>
  <c r="AN119"/>
  <c r="AM119"/>
  <c r="AJ119"/>
  <c r="AI119"/>
  <c r="AH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N118"/>
  <c r="AM118"/>
  <c r="AJ118"/>
  <c r="AN117"/>
  <c r="AM117"/>
  <c r="AJ117"/>
  <c r="AA117"/>
  <c r="AN116"/>
  <c r="AM116"/>
  <c r="AJ116"/>
  <c r="AN115"/>
  <c r="AM115"/>
  <c r="AJ115"/>
  <c r="AI115"/>
  <c r="AH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N114"/>
  <c r="AM114"/>
  <c r="AJ114"/>
  <c r="AN113"/>
  <c r="AM113"/>
  <c r="AJ113"/>
  <c r="AI113"/>
  <c r="AH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N112"/>
  <c r="AM112"/>
  <c r="AJ112"/>
  <c r="AI112"/>
  <c r="AD112"/>
  <c r="AB112"/>
  <c r="AA112"/>
  <c r="Z112"/>
  <c r="X112"/>
  <c r="V112"/>
  <c r="T112"/>
  <c r="R112"/>
  <c r="P112"/>
  <c r="N112"/>
  <c r="L112"/>
  <c r="J112"/>
  <c r="H112"/>
  <c r="F112"/>
  <c r="D112"/>
  <c r="AN111"/>
  <c r="AM111"/>
  <c r="AJ111"/>
  <c r="AI111"/>
  <c r="AD111"/>
  <c r="AB111"/>
  <c r="AA111"/>
  <c r="Z111"/>
  <c r="X111"/>
  <c r="V111"/>
  <c r="T111"/>
  <c r="R111"/>
  <c r="P111"/>
  <c r="N111"/>
  <c r="L111"/>
  <c r="J111"/>
  <c r="H111"/>
  <c r="F111"/>
  <c r="D111"/>
  <c r="AN110"/>
  <c r="AM110"/>
  <c r="AJ110"/>
  <c r="AI110"/>
  <c r="AD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N109"/>
  <c r="AM109"/>
  <c r="AJ109"/>
  <c r="AI109"/>
  <c r="AD109"/>
  <c r="AB109"/>
  <c r="AA109"/>
  <c r="Z109"/>
  <c r="X109"/>
  <c r="V109"/>
  <c r="T109"/>
  <c r="R109"/>
  <c r="P109"/>
  <c r="N109"/>
  <c r="L109"/>
  <c r="J109"/>
  <c r="H109"/>
  <c r="F109"/>
  <c r="D109"/>
  <c r="AN108"/>
  <c r="AM108"/>
  <c r="AJ108"/>
  <c r="AA108"/>
  <c r="AN107"/>
  <c r="AM107"/>
  <c r="AJ107"/>
  <c r="AA107"/>
  <c r="AN106"/>
  <c r="AM106"/>
  <c r="AJ106"/>
  <c r="AI106"/>
  <c r="AD106"/>
  <c r="AB106"/>
  <c r="AA106"/>
  <c r="Z106"/>
  <c r="X106"/>
  <c r="V106"/>
  <c r="T106"/>
  <c r="R106"/>
  <c r="P106"/>
  <c r="N106"/>
  <c r="L106"/>
  <c r="J106"/>
  <c r="H106"/>
  <c r="F106"/>
  <c r="D106"/>
  <c r="AN105"/>
  <c r="AM105"/>
  <c r="AJ105"/>
  <c r="AI105"/>
  <c r="AD105"/>
  <c r="AB105"/>
  <c r="AA105"/>
  <c r="Z105"/>
  <c r="X105"/>
  <c r="V105"/>
  <c r="T105"/>
  <c r="R105"/>
  <c r="P105"/>
  <c r="N105"/>
  <c r="L105"/>
  <c r="J105"/>
  <c r="H105"/>
  <c r="F105"/>
  <c r="D105"/>
  <c r="AN104"/>
  <c r="AM104"/>
  <c r="AJ104"/>
  <c r="AI104"/>
  <c r="AD104"/>
  <c r="AB104"/>
  <c r="AA104"/>
  <c r="Z104"/>
  <c r="X104"/>
  <c r="V104"/>
  <c r="T104"/>
  <c r="R104"/>
  <c r="P104"/>
  <c r="N104"/>
  <c r="L104"/>
  <c r="J104"/>
  <c r="H104"/>
  <c r="F104"/>
  <c r="D104"/>
  <c r="AN103"/>
  <c r="AM103"/>
  <c r="AJ103"/>
  <c r="AI103"/>
  <c r="AD103"/>
  <c r="AB103"/>
  <c r="AA103"/>
  <c r="Z103"/>
  <c r="X103"/>
  <c r="V103"/>
  <c r="T103"/>
  <c r="R103"/>
  <c r="P103"/>
  <c r="N103"/>
  <c r="L103"/>
  <c r="J103"/>
  <c r="H103"/>
  <c r="F103"/>
  <c r="D103"/>
  <c r="AN102"/>
  <c r="AM102"/>
  <c r="AJ102"/>
  <c r="AI102"/>
  <c r="AD102"/>
  <c r="AB102"/>
  <c r="AA102"/>
  <c r="Z102"/>
  <c r="X102"/>
  <c r="V102"/>
  <c r="T102"/>
  <c r="R102"/>
  <c r="P102"/>
  <c r="N102"/>
  <c r="L102"/>
  <c r="J102"/>
  <c r="H102"/>
  <c r="F102"/>
  <c r="D102"/>
  <c r="C102"/>
  <c r="AN101"/>
  <c r="AM101"/>
  <c r="AJ101"/>
  <c r="AI101"/>
  <c r="AD101"/>
  <c r="AB101"/>
  <c r="AA101"/>
  <c r="Z101"/>
  <c r="X101"/>
  <c r="V101"/>
  <c r="T101"/>
  <c r="R101"/>
  <c r="P101"/>
  <c r="N101"/>
  <c r="L101"/>
  <c r="J101"/>
  <c r="H101"/>
  <c r="F101"/>
  <c r="D101"/>
  <c r="AN100"/>
  <c r="AM100"/>
  <c r="AJ100"/>
  <c r="AI100"/>
  <c r="AH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N99"/>
  <c r="AM99"/>
  <c r="AJ99"/>
  <c r="AI99"/>
  <c r="AD99"/>
  <c r="AB99"/>
  <c r="AA99"/>
  <c r="Z99"/>
  <c r="X99"/>
  <c r="V99"/>
  <c r="T99"/>
  <c r="R99"/>
  <c r="P99"/>
  <c r="N99"/>
  <c r="L99"/>
  <c r="J99"/>
  <c r="H99"/>
  <c r="F99"/>
  <c r="D99"/>
  <c r="AN98"/>
  <c r="AM98"/>
  <c r="AJ98"/>
  <c r="AI98"/>
  <c r="AD98"/>
  <c r="AB98"/>
  <c r="AA98"/>
  <c r="Z98"/>
  <c r="Y98"/>
  <c r="X98"/>
  <c r="W98"/>
  <c r="V98"/>
  <c r="T98"/>
  <c r="S98"/>
  <c r="R98"/>
  <c r="Q98"/>
  <c r="P98"/>
  <c r="N98"/>
  <c r="M98"/>
  <c r="L98"/>
  <c r="K98"/>
  <c r="J98"/>
  <c r="I98"/>
  <c r="H98"/>
  <c r="G98"/>
  <c r="F98"/>
  <c r="E98"/>
  <c r="D98"/>
  <c r="AN97"/>
  <c r="AM97"/>
  <c r="AJ97"/>
  <c r="AI97"/>
  <c r="AD97"/>
  <c r="AB97"/>
  <c r="AA97"/>
  <c r="Z97"/>
  <c r="X97"/>
  <c r="V97"/>
  <c r="U97"/>
  <c r="T97"/>
  <c r="R97"/>
  <c r="Q97"/>
  <c r="P97"/>
  <c r="N97"/>
  <c r="L97"/>
  <c r="K97"/>
  <c r="J97"/>
  <c r="H97"/>
  <c r="G97"/>
  <c r="F97"/>
  <c r="E97"/>
  <c r="D97"/>
  <c r="AN96"/>
  <c r="AM96"/>
  <c r="AJ96"/>
  <c r="AI96"/>
  <c r="AD96"/>
  <c r="AB96"/>
  <c r="AA96"/>
  <c r="Z96"/>
  <c r="X96"/>
  <c r="V96"/>
  <c r="T96"/>
  <c r="R96"/>
  <c r="P96"/>
  <c r="N96"/>
  <c r="L96"/>
  <c r="J96"/>
  <c r="H96"/>
  <c r="F96"/>
  <c r="D96"/>
  <c r="AN95"/>
  <c r="AM95"/>
  <c r="AJ95"/>
  <c r="AI95"/>
  <c r="AD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AN94"/>
  <c r="AM94"/>
  <c r="AJ94"/>
  <c r="AI94"/>
  <c r="AD94"/>
  <c r="AB94"/>
  <c r="AA94"/>
  <c r="Z94"/>
  <c r="X94"/>
  <c r="V94"/>
  <c r="T94"/>
  <c r="R94"/>
  <c r="P94"/>
  <c r="N94"/>
  <c r="L94"/>
  <c r="J94"/>
  <c r="H94"/>
  <c r="F94"/>
  <c r="D94"/>
  <c r="AN93"/>
  <c r="AM93"/>
  <c r="AJ93"/>
  <c r="AI93"/>
  <c r="AD93"/>
  <c r="AB93"/>
  <c r="AA93"/>
  <c r="Z93"/>
  <c r="X93"/>
  <c r="V93"/>
  <c r="T93"/>
  <c r="R93"/>
  <c r="P93"/>
  <c r="N93"/>
  <c r="L93"/>
  <c r="J93"/>
  <c r="H93"/>
  <c r="F93"/>
  <c r="D93"/>
  <c r="AN92"/>
  <c r="AM92"/>
  <c r="AJ92"/>
  <c r="AI92"/>
  <c r="AD92"/>
  <c r="AB92"/>
  <c r="AA92"/>
  <c r="Z92"/>
  <c r="X92"/>
  <c r="V92"/>
  <c r="T92"/>
  <c r="R92"/>
  <c r="P92"/>
  <c r="N92"/>
  <c r="M92"/>
  <c r="L92"/>
  <c r="J92"/>
  <c r="H92"/>
  <c r="F92"/>
  <c r="D92"/>
  <c r="AN91"/>
  <c r="AM91"/>
  <c r="AJ91"/>
  <c r="AI91"/>
  <c r="AD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AN90"/>
  <c r="AM90"/>
  <c r="AJ90"/>
  <c r="AI90"/>
  <c r="AD90"/>
  <c r="AB90"/>
  <c r="AA90"/>
  <c r="Z90"/>
  <c r="X90"/>
  <c r="V90"/>
  <c r="T90"/>
  <c r="R90"/>
  <c r="P90"/>
  <c r="N90"/>
  <c r="L90"/>
  <c r="J90"/>
  <c r="H90"/>
  <c r="F90"/>
  <c r="D90"/>
  <c r="AN89"/>
  <c r="AM89"/>
  <c r="AJ89"/>
  <c r="AI89"/>
  <c r="AD89"/>
  <c r="AB89"/>
  <c r="AA89"/>
  <c r="Z89"/>
  <c r="X89"/>
  <c r="V89"/>
  <c r="T89"/>
  <c r="R89"/>
  <c r="P89"/>
  <c r="N89"/>
  <c r="L89"/>
  <c r="J89"/>
  <c r="H89"/>
  <c r="F89"/>
  <c r="D89"/>
  <c r="AN88"/>
  <c r="AM88"/>
  <c r="AJ88"/>
  <c r="AI88"/>
  <c r="AD88"/>
  <c r="AB88"/>
  <c r="AA88"/>
  <c r="Z88"/>
  <c r="X88"/>
  <c r="V88"/>
  <c r="T88"/>
  <c r="R88"/>
  <c r="P88"/>
  <c r="N88"/>
  <c r="L88"/>
  <c r="J88"/>
  <c r="H88"/>
  <c r="F88"/>
  <c r="D88"/>
  <c r="AN87"/>
  <c r="AM87"/>
  <c r="AJ87"/>
  <c r="AI87"/>
  <c r="AH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AN86"/>
  <c r="AM86"/>
  <c r="AJ86"/>
  <c r="AI86"/>
  <c r="AD86"/>
  <c r="AB86"/>
  <c r="AA86"/>
  <c r="Z86"/>
  <c r="X86"/>
  <c r="V86"/>
  <c r="T86"/>
  <c r="R86"/>
  <c r="P86"/>
  <c r="N86"/>
  <c r="L86"/>
  <c r="J86"/>
  <c r="H86"/>
  <c r="F86"/>
  <c r="D86"/>
  <c r="AN85"/>
  <c r="AM85"/>
  <c r="AJ85"/>
  <c r="AI85"/>
  <c r="AD85"/>
  <c r="AB85"/>
  <c r="AA85"/>
  <c r="Z85"/>
  <c r="X85"/>
  <c r="V85"/>
  <c r="T85"/>
  <c r="R85"/>
  <c r="P85"/>
  <c r="N85"/>
  <c r="L85"/>
  <c r="J85"/>
  <c r="H85"/>
  <c r="F85"/>
  <c r="D85"/>
  <c r="AN84"/>
  <c r="AM84"/>
  <c r="AJ84"/>
  <c r="AI84"/>
  <c r="AD84"/>
  <c r="AB84"/>
  <c r="AA84"/>
  <c r="Z84"/>
  <c r="X84"/>
  <c r="V84"/>
  <c r="T84"/>
  <c r="R84"/>
  <c r="P84"/>
  <c r="N84"/>
  <c r="L84"/>
  <c r="J84"/>
  <c r="H84"/>
  <c r="F84"/>
  <c r="D84"/>
  <c r="AN83"/>
  <c r="AM83"/>
  <c r="AJ83"/>
  <c r="AI83"/>
  <c r="AD83"/>
  <c r="AB83"/>
  <c r="AA83"/>
  <c r="Z83"/>
  <c r="X83"/>
  <c r="V83"/>
  <c r="T83"/>
  <c r="R83"/>
  <c r="P83"/>
  <c r="N83"/>
  <c r="L83"/>
  <c r="J83"/>
  <c r="H83"/>
  <c r="F83"/>
  <c r="D83"/>
  <c r="AN82"/>
  <c r="AM82"/>
  <c r="AJ82"/>
  <c r="AI82"/>
  <c r="AD82"/>
  <c r="AB82"/>
  <c r="AA82"/>
  <c r="Z82"/>
  <c r="X82"/>
  <c r="V82"/>
  <c r="T82"/>
  <c r="R82"/>
  <c r="P82"/>
  <c r="N82"/>
  <c r="L82"/>
  <c r="J82"/>
  <c r="H82"/>
  <c r="F82"/>
  <c r="D82"/>
  <c r="AN81"/>
  <c r="AM81"/>
  <c r="AJ81"/>
  <c r="AI81"/>
  <c r="AD81"/>
  <c r="AB81"/>
  <c r="AA81"/>
  <c r="Z81"/>
  <c r="X81"/>
  <c r="V81"/>
  <c r="T81"/>
  <c r="R81"/>
  <c r="P81"/>
  <c r="N81"/>
  <c r="L81"/>
  <c r="J81"/>
  <c r="H81"/>
  <c r="F81"/>
  <c r="D81"/>
  <c r="AN80"/>
  <c r="AM80"/>
  <c r="AJ80"/>
  <c r="AI80"/>
  <c r="AD80"/>
  <c r="AB80"/>
  <c r="AA80"/>
  <c r="Z80"/>
  <c r="X80"/>
  <c r="V80"/>
  <c r="T80"/>
  <c r="R80"/>
  <c r="P80"/>
  <c r="N80"/>
  <c r="L80"/>
  <c r="J80"/>
  <c r="H80"/>
  <c r="F80"/>
  <c r="D80"/>
  <c r="AN79"/>
  <c r="AM79"/>
  <c r="AJ79"/>
  <c r="AI79"/>
  <c r="AD79"/>
  <c r="AB79"/>
  <c r="AA79"/>
  <c r="Z79"/>
  <c r="X79"/>
  <c r="V79"/>
  <c r="T79"/>
  <c r="R79"/>
  <c r="P79"/>
  <c r="N79"/>
  <c r="L79"/>
  <c r="J79"/>
  <c r="H79"/>
  <c r="F79"/>
  <c r="D79"/>
  <c r="AN78"/>
  <c r="AM78"/>
  <c r="AJ78"/>
  <c r="AI78"/>
  <c r="AD78"/>
  <c r="AB78"/>
  <c r="AA78"/>
  <c r="Z78"/>
  <c r="X78"/>
  <c r="V78"/>
  <c r="T78"/>
  <c r="R78"/>
  <c r="P78"/>
  <c r="N78"/>
  <c r="L78"/>
  <c r="J78"/>
  <c r="H78"/>
  <c r="F78"/>
  <c r="D78"/>
  <c r="AN77"/>
  <c r="AM77"/>
  <c r="AJ77"/>
  <c r="AI77"/>
  <c r="AD77"/>
  <c r="AB77"/>
  <c r="AA77"/>
  <c r="Z77"/>
  <c r="X77"/>
  <c r="V77"/>
  <c r="T77"/>
  <c r="R77"/>
  <c r="P77"/>
  <c r="N77"/>
  <c r="L77"/>
  <c r="J77"/>
  <c r="H77"/>
  <c r="F77"/>
  <c r="D77"/>
  <c r="AN76"/>
  <c r="AM76"/>
  <c r="AJ76"/>
  <c r="AI76"/>
  <c r="AD76"/>
  <c r="AB76"/>
  <c r="AA76"/>
  <c r="Z76"/>
  <c r="X76"/>
  <c r="V76"/>
  <c r="T76"/>
  <c r="R76"/>
  <c r="P76"/>
  <c r="N76"/>
  <c r="L76"/>
  <c r="J76"/>
  <c r="H76"/>
  <c r="F76"/>
  <c r="D76"/>
  <c r="AN75"/>
  <c r="AM75"/>
  <c r="AJ75"/>
  <c r="AI75"/>
  <c r="AD75"/>
  <c r="AB75"/>
  <c r="AA75"/>
  <c r="Z75"/>
  <c r="X75"/>
  <c r="V75"/>
  <c r="T75"/>
  <c r="R75"/>
  <c r="P75"/>
  <c r="N75"/>
  <c r="L75"/>
  <c r="J75"/>
  <c r="H75"/>
  <c r="F75"/>
  <c r="D75"/>
  <c r="AN74"/>
  <c r="AM74"/>
  <c r="AJ74"/>
  <c r="AI74"/>
  <c r="AD74"/>
  <c r="AB74"/>
  <c r="AA74"/>
  <c r="Z74"/>
  <c r="X74"/>
  <c r="V74"/>
  <c r="T74"/>
  <c r="R74"/>
  <c r="P74"/>
  <c r="N74"/>
  <c r="L74"/>
  <c r="J74"/>
  <c r="H74"/>
  <c r="F74"/>
  <c r="D74"/>
  <c r="AN73"/>
  <c r="AM73"/>
  <c r="AJ73"/>
  <c r="AI73"/>
  <c r="AD73"/>
  <c r="AB73"/>
  <c r="AA73"/>
  <c r="Z73"/>
  <c r="X73"/>
  <c r="V73"/>
  <c r="T73"/>
  <c r="R73"/>
  <c r="P73"/>
  <c r="N73"/>
  <c r="L73"/>
  <c r="J73"/>
  <c r="H73"/>
  <c r="F73"/>
  <c r="D73"/>
  <c r="AN72"/>
  <c r="AM72"/>
  <c r="AJ72"/>
  <c r="AI72"/>
  <c r="AD72"/>
  <c r="AB72"/>
  <c r="AA72"/>
  <c r="Z72"/>
  <c r="X72"/>
  <c r="V72"/>
  <c r="T72"/>
  <c r="R72"/>
  <c r="P72"/>
  <c r="N72"/>
  <c r="L72"/>
  <c r="J72"/>
  <c r="H72"/>
  <c r="F72"/>
  <c r="D72"/>
  <c r="AN71"/>
  <c r="AM71"/>
  <c r="AJ71"/>
  <c r="AI71"/>
  <c r="AD71"/>
  <c r="AB71"/>
  <c r="AA71"/>
  <c r="Z71"/>
  <c r="X71"/>
  <c r="V71"/>
  <c r="T71"/>
  <c r="R71"/>
  <c r="P71"/>
  <c r="N71"/>
  <c r="L71"/>
  <c r="J71"/>
  <c r="H71"/>
  <c r="F71"/>
  <c r="D71"/>
  <c r="AN70"/>
  <c r="AM70"/>
  <c r="AJ70"/>
  <c r="AI70"/>
  <c r="AH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N69"/>
  <c r="AM69"/>
  <c r="AJ69"/>
  <c r="AA69"/>
  <c r="AN68"/>
  <c r="AM68"/>
  <c r="AJ68"/>
  <c r="AI68"/>
  <c r="AD68"/>
  <c r="AB68"/>
  <c r="AA68"/>
  <c r="Z68"/>
  <c r="X68"/>
  <c r="V68"/>
  <c r="T68"/>
  <c r="R68"/>
  <c r="P68"/>
  <c r="N68"/>
  <c r="L68"/>
  <c r="J68"/>
  <c r="H68"/>
  <c r="F68"/>
  <c r="D68"/>
  <c r="AN67"/>
  <c r="AM67"/>
  <c r="AJ67"/>
  <c r="AI67"/>
  <c r="AD67"/>
  <c r="AB67"/>
  <c r="AA67"/>
  <c r="Z67"/>
  <c r="X67"/>
  <c r="V67"/>
  <c r="T67"/>
  <c r="R67"/>
  <c r="P67"/>
  <c r="N67"/>
  <c r="L67"/>
  <c r="J67"/>
  <c r="H67"/>
  <c r="F67"/>
  <c r="D67"/>
  <c r="AN66"/>
  <c r="AM66"/>
  <c r="AJ66"/>
  <c r="AI66"/>
  <c r="AD66"/>
  <c r="AB66"/>
  <c r="AA66"/>
  <c r="Z66"/>
  <c r="X66"/>
  <c r="V66"/>
  <c r="T66"/>
  <c r="R66"/>
  <c r="P66"/>
  <c r="N66"/>
  <c r="L66"/>
  <c r="J66"/>
  <c r="H66"/>
  <c r="F66"/>
  <c r="D66"/>
  <c r="AN65"/>
  <c r="AM65"/>
  <c r="AJ65"/>
  <c r="AI65"/>
  <c r="AD65"/>
  <c r="AB65"/>
  <c r="AA65"/>
  <c r="Z65"/>
  <c r="X65"/>
  <c r="V65"/>
  <c r="T65"/>
  <c r="R65"/>
  <c r="P65"/>
  <c r="N65"/>
  <c r="L65"/>
  <c r="J65"/>
  <c r="H65"/>
  <c r="F65"/>
  <c r="D65"/>
  <c r="AN64"/>
  <c r="AM64"/>
  <c r="AJ64"/>
  <c r="AI64"/>
  <c r="AD64"/>
  <c r="AB64"/>
  <c r="AA64"/>
  <c r="Z64"/>
  <c r="X64"/>
  <c r="V64"/>
  <c r="T64"/>
  <c r="R64"/>
  <c r="P64"/>
  <c r="N64"/>
  <c r="L64"/>
  <c r="J64"/>
  <c r="H64"/>
  <c r="F64"/>
  <c r="D64"/>
  <c r="AN63"/>
  <c r="AM63"/>
  <c r="AJ63"/>
  <c r="AI63"/>
  <c r="AD63"/>
  <c r="AB63"/>
  <c r="AA63"/>
  <c r="Z63"/>
  <c r="X63"/>
  <c r="V63"/>
  <c r="T63"/>
  <c r="R63"/>
  <c r="P63"/>
  <c r="N63"/>
  <c r="L63"/>
  <c r="J63"/>
  <c r="H63"/>
  <c r="F63"/>
  <c r="D63"/>
  <c r="AN62"/>
  <c r="AM62"/>
  <c r="AJ62"/>
  <c r="AI62"/>
  <c r="AD62"/>
  <c r="AB62"/>
  <c r="AA62"/>
  <c r="Z62"/>
  <c r="X62"/>
  <c r="V62"/>
  <c r="T62"/>
  <c r="R62"/>
  <c r="P62"/>
  <c r="N62"/>
  <c r="L62"/>
  <c r="J62"/>
  <c r="H62"/>
  <c r="F62"/>
  <c r="D62"/>
  <c r="AN61"/>
  <c r="AM61"/>
  <c r="AJ61"/>
  <c r="AI61"/>
  <c r="AD61"/>
  <c r="AB61"/>
  <c r="AA61"/>
  <c r="Z61"/>
  <c r="X61"/>
  <c r="V61"/>
  <c r="T61"/>
  <c r="R61"/>
  <c r="P61"/>
  <c r="N61"/>
  <c r="L61"/>
  <c r="J61"/>
  <c r="H61"/>
  <c r="F61"/>
  <c r="D61"/>
  <c r="AN60"/>
  <c r="AM60"/>
  <c r="AJ60"/>
  <c r="AI60"/>
  <c r="AD60"/>
  <c r="AB60"/>
  <c r="AA60"/>
  <c r="Z60"/>
  <c r="X60"/>
  <c r="V60"/>
  <c r="T60"/>
  <c r="R60"/>
  <c r="P60"/>
  <c r="N60"/>
  <c r="L60"/>
  <c r="J60"/>
  <c r="H60"/>
  <c r="F60"/>
  <c r="D60"/>
  <c r="AN59"/>
  <c r="AM59"/>
  <c r="AJ59"/>
  <c r="AI59"/>
  <c r="AD59"/>
  <c r="AB59"/>
  <c r="AA59"/>
  <c r="Z59"/>
  <c r="X59"/>
  <c r="V59"/>
  <c r="T59"/>
  <c r="R59"/>
  <c r="P59"/>
  <c r="N59"/>
  <c r="L59"/>
  <c r="J59"/>
  <c r="H59"/>
  <c r="F59"/>
  <c r="D59"/>
  <c r="AN58"/>
  <c r="AM58"/>
  <c r="AJ58"/>
  <c r="AI58"/>
  <c r="AD58"/>
  <c r="AB58"/>
  <c r="AA58"/>
  <c r="Z58"/>
  <c r="X58"/>
  <c r="V58"/>
  <c r="T58"/>
  <c r="R58"/>
  <c r="P58"/>
  <c r="N58"/>
  <c r="L58"/>
  <c r="J58"/>
  <c r="H58"/>
  <c r="F58"/>
  <c r="D58"/>
  <c r="AN57"/>
  <c r="AM57"/>
  <c r="AJ57"/>
  <c r="AI57"/>
  <c r="AD57"/>
  <c r="AB57"/>
  <c r="AA57"/>
  <c r="Z57"/>
  <c r="X57"/>
  <c r="V57"/>
  <c r="T57"/>
  <c r="R57"/>
  <c r="P57"/>
  <c r="N57"/>
  <c r="L57"/>
  <c r="J57"/>
  <c r="H57"/>
  <c r="F57"/>
  <c r="D57"/>
  <c r="AN56"/>
  <c r="AM56"/>
  <c r="AJ56"/>
  <c r="AI56"/>
  <c r="AD56"/>
  <c r="AB56"/>
  <c r="AA56"/>
  <c r="Z56"/>
  <c r="X56"/>
  <c r="V56"/>
  <c r="T56"/>
  <c r="R56"/>
  <c r="P56"/>
  <c r="N56"/>
  <c r="L56"/>
  <c r="J56"/>
  <c r="H56"/>
  <c r="F56"/>
  <c r="D56"/>
  <c r="AN55"/>
  <c r="AM55"/>
  <c r="AJ55"/>
  <c r="AI55"/>
  <c r="AD55"/>
  <c r="AB55"/>
  <c r="AA55"/>
  <c r="Z55"/>
  <c r="X55"/>
  <c r="V55"/>
  <c r="T55"/>
  <c r="R55"/>
  <c r="P55"/>
  <c r="N55"/>
  <c r="L55"/>
  <c r="J55"/>
  <c r="H55"/>
  <c r="F55"/>
  <c r="D55"/>
  <c r="AN54"/>
  <c r="AM54"/>
  <c r="AJ54"/>
  <c r="AI54"/>
  <c r="AD54"/>
  <c r="AB54"/>
  <c r="AA54"/>
  <c r="Z54"/>
  <c r="X54"/>
  <c r="V54"/>
  <c r="T54"/>
  <c r="R54"/>
  <c r="P54"/>
  <c r="N54"/>
  <c r="L54"/>
  <c r="J54"/>
  <c r="H54"/>
  <c r="F54"/>
  <c r="D54"/>
  <c r="AN53"/>
  <c r="AM53"/>
  <c r="AJ53"/>
  <c r="AI53"/>
  <c r="AD53"/>
  <c r="AB53"/>
  <c r="AA53"/>
  <c r="Z53"/>
  <c r="X53"/>
  <c r="V53"/>
  <c r="T53"/>
  <c r="R53"/>
  <c r="P53"/>
  <c r="N53"/>
  <c r="L53"/>
  <c r="J53"/>
  <c r="H53"/>
  <c r="F53"/>
  <c r="D53"/>
  <c r="AN52"/>
  <c r="AM52"/>
  <c r="AJ52"/>
  <c r="AI52"/>
  <c r="AD52"/>
  <c r="AB52"/>
  <c r="AA52"/>
  <c r="Z52"/>
  <c r="X52"/>
  <c r="V52"/>
  <c r="T52"/>
  <c r="R52"/>
  <c r="P52"/>
  <c r="N52"/>
  <c r="L52"/>
  <c r="J52"/>
  <c r="H52"/>
  <c r="F52"/>
  <c r="D52"/>
  <c r="AN51"/>
  <c r="AM51"/>
  <c r="AJ51"/>
  <c r="AI51"/>
  <c r="AD51"/>
  <c r="AB51"/>
  <c r="AA51"/>
  <c r="Z51"/>
  <c r="X51"/>
  <c r="V51"/>
  <c r="T51"/>
  <c r="R51"/>
  <c r="P51"/>
  <c r="N51"/>
  <c r="L51"/>
  <c r="J51"/>
  <c r="H51"/>
  <c r="F51"/>
  <c r="D51"/>
  <c r="AN50"/>
  <c r="AM50"/>
  <c r="AJ50"/>
  <c r="AI50"/>
  <c r="AD50"/>
  <c r="AB50"/>
  <c r="AA50"/>
  <c r="Z50"/>
  <c r="X50"/>
  <c r="V50"/>
  <c r="T50"/>
  <c r="R50"/>
  <c r="P50"/>
  <c r="N50"/>
  <c r="L50"/>
  <c r="J50"/>
  <c r="H50"/>
  <c r="F50"/>
  <c r="D50"/>
  <c r="AN49"/>
  <c r="AM49"/>
  <c r="AJ49"/>
  <c r="AI49"/>
  <c r="AD49"/>
  <c r="AB49"/>
  <c r="AA49"/>
  <c r="Z49"/>
  <c r="X49"/>
  <c r="V49"/>
  <c r="T49"/>
  <c r="R49"/>
  <c r="P49"/>
  <c r="N49"/>
  <c r="L49"/>
  <c r="J49"/>
  <c r="H49"/>
  <c r="F49"/>
  <c r="D49"/>
  <c r="AN48"/>
  <c r="AM48"/>
  <c r="AJ48"/>
  <c r="AI48"/>
  <c r="AD48"/>
  <c r="AB48"/>
  <c r="AA48"/>
  <c r="Z48"/>
  <c r="X48"/>
  <c r="V48"/>
  <c r="T48"/>
  <c r="R48"/>
  <c r="P48"/>
  <c r="N48"/>
  <c r="L48"/>
  <c r="J48"/>
  <c r="H48"/>
  <c r="F48"/>
  <c r="D48"/>
  <c r="AN47"/>
  <c r="AM47"/>
  <c r="AJ47"/>
  <c r="AI47"/>
  <c r="AD47"/>
  <c r="AB47"/>
  <c r="AA47"/>
  <c r="Z47"/>
  <c r="X47"/>
  <c r="V47"/>
  <c r="T47"/>
  <c r="R47"/>
  <c r="P47"/>
  <c r="N47"/>
  <c r="L47"/>
  <c r="J47"/>
  <c r="H47"/>
  <c r="F47"/>
  <c r="D47"/>
  <c r="AN46"/>
  <c r="AM46"/>
  <c r="AJ46"/>
  <c r="AI46"/>
  <c r="AD46"/>
  <c r="AB46"/>
  <c r="AA46"/>
  <c r="Z46"/>
  <c r="X46"/>
  <c r="V46"/>
  <c r="T46"/>
  <c r="R46"/>
  <c r="P46"/>
  <c r="N46"/>
  <c r="L46"/>
  <c r="J46"/>
  <c r="H46"/>
  <c r="F46"/>
  <c r="D46"/>
  <c r="AN45"/>
  <c r="AM45"/>
  <c r="AJ45"/>
  <c r="AI45"/>
  <c r="AD45"/>
  <c r="AB45"/>
  <c r="AA45"/>
  <c r="Z45"/>
  <c r="X45"/>
  <c r="V45"/>
  <c r="T45"/>
  <c r="R45"/>
  <c r="P45"/>
  <c r="N45"/>
  <c r="L45"/>
  <c r="J45"/>
  <c r="H45"/>
  <c r="F45"/>
  <c r="D45"/>
  <c r="AN44"/>
  <c r="AM44"/>
  <c r="AJ44"/>
  <c r="AI44"/>
  <c r="AD44"/>
  <c r="AB44"/>
  <c r="AA44"/>
  <c r="Z44"/>
  <c r="X44"/>
  <c r="V44"/>
  <c r="T44"/>
  <c r="R44"/>
  <c r="P44"/>
  <c r="N44"/>
  <c r="L44"/>
  <c r="J44"/>
  <c r="H44"/>
  <c r="F44"/>
  <c r="D44"/>
  <c r="AN43"/>
  <c r="AM43"/>
  <c r="AJ43"/>
  <c r="AI43"/>
  <c r="AD43"/>
  <c r="AB43"/>
  <c r="AA43"/>
  <c r="Z43"/>
  <c r="X43"/>
  <c r="V43"/>
  <c r="T43"/>
  <c r="R43"/>
  <c r="P43"/>
  <c r="N43"/>
  <c r="L43"/>
  <c r="J43"/>
  <c r="H43"/>
  <c r="F43"/>
  <c r="D43"/>
  <c r="AN42"/>
  <c r="AM42"/>
  <c r="AJ42"/>
  <c r="AI42"/>
  <c r="AD42"/>
  <c r="AB42"/>
  <c r="AA42"/>
  <c r="Z42"/>
  <c r="X42"/>
  <c r="V42"/>
  <c r="T42"/>
  <c r="R42"/>
  <c r="P42"/>
  <c r="N42"/>
  <c r="L42"/>
  <c r="J42"/>
  <c r="H42"/>
  <c r="F42"/>
  <c r="D42"/>
  <c r="AN41"/>
  <c r="AM41"/>
  <c r="AJ41"/>
  <c r="AI41"/>
  <c r="AD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N40"/>
  <c r="AM40"/>
  <c r="AJ40"/>
  <c r="AI40"/>
  <c r="AD40"/>
  <c r="AB40"/>
  <c r="AA40"/>
  <c r="Z40"/>
  <c r="X40"/>
  <c r="V40"/>
  <c r="T40"/>
  <c r="R40"/>
  <c r="P40"/>
  <c r="N40"/>
  <c r="L40"/>
  <c r="J40"/>
  <c r="H40"/>
  <c r="F40"/>
  <c r="D40"/>
  <c r="AN39"/>
  <c r="AM39"/>
  <c r="AJ39"/>
  <c r="AI39"/>
  <c r="AD39"/>
  <c r="AB39"/>
  <c r="AA39"/>
  <c r="Z39"/>
  <c r="X39"/>
  <c r="V39"/>
  <c r="T39"/>
  <c r="R39"/>
  <c r="P39"/>
  <c r="N39"/>
  <c r="L39"/>
  <c r="J39"/>
  <c r="H39"/>
  <c r="F39"/>
  <c r="D39"/>
  <c r="AN38"/>
  <c r="AM38"/>
  <c r="AJ38"/>
  <c r="AI38"/>
  <c r="AD38"/>
  <c r="AB38"/>
  <c r="AA38"/>
  <c r="Z38"/>
  <c r="X38"/>
  <c r="V38"/>
  <c r="T38"/>
  <c r="R38"/>
  <c r="P38"/>
  <c r="N38"/>
  <c r="L38"/>
  <c r="J38"/>
  <c r="H38"/>
  <c r="F38"/>
  <c r="D38"/>
  <c r="AN37"/>
  <c r="AM37"/>
  <c r="AJ37"/>
  <c r="AI37"/>
  <c r="AH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N36"/>
  <c r="AM36"/>
  <c r="AJ36"/>
  <c r="AI36"/>
  <c r="AH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N35"/>
  <c r="AM35"/>
  <c r="AJ35"/>
  <c r="AI35"/>
  <c r="AH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N34"/>
  <c r="AM34"/>
  <c r="AJ34"/>
  <c r="AI34"/>
  <c r="AD34"/>
  <c r="AB34"/>
  <c r="AA34"/>
  <c r="Z34"/>
  <c r="X34"/>
  <c r="V34"/>
  <c r="T34"/>
  <c r="R34"/>
  <c r="P34"/>
  <c r="N34"/>
  <c r="L34"/>
  <c r="J34"/>
  <c r="H34"/>
  <c r="F34"/>
  <c r="D34"/>
  <c r="AN33"/>
  <c r="AM33"/>
  <c r="AJ33"/>
  <c r="AI33"/>
  <c r="AD33"/>
  <c r="AB33"/>
  <c r="AA33"/>
  <c r="Z33"/>
  <c r="X33"/>
  <c r="V33"/>
  <c r="T33"/>
  <c r="R33"/>
  <c r="P33"/>
  <c r="N33"/>
  <c r="L33"/>
  <c r="J33"/>
  <c r="H33"/>
  <c r="F33"/>
  <c r="D33"/>
  <c r="AN32"/>
  <c r="AM32"/>
  <c r="AJ32"/>
  <c r="AI32"/>
  <c r="AD32"/>
  <c r="AB32"/>
  <c r="AA32"/>
  <c r="Z32"/>
  <c r="X32"/>
  <c r="V32"/>
  <c r="T32"/>
  <c r="R32"/>
  <c r="P32"/>
  <c r="N32"/>
  <c r="L32"/>
  <c r="J32"/>
  <c r="H32"/>
  <c r="F32"/>
  <c r="D32"/>
  <c r="AN31"/>
  <c r="AM31"/>
  <c r="AJ31"/>
  <c r="AI31"/>
  <c r="AD31"/>
  <c r="AB31"/>
  <c r="AA31"/>
  <c r="Z31"/>
  <c r="X31"/>
  <c r="V31"/>
  <c r="T31"/>
  <c r="R31"/>
  <c r="P31"/>
  <c r="N31"/>
  <c r="L31"/>
  <c r="J31"/>
  <c r="H31"/>
  <c r="F31"/>
  <c r="D31"/>
  <c r="AN30"/>
  <c r="AM30"/>
  <c r="AJ30"/>
  <c r="AI30"/>
  <c r="AD30"/>
  <c r="AB30"/>
  <c r="AA30"/>
  <c r="Z30"/>
  <c r="X30"/>
  <c r="V30"/>
  <c r="T30"/>
  <c r="R30"/>
  <c r="P30"/>
  <c r="N30"/>
  <c r="L30"/>
  <c r="J30"/>
  <c r="H30"/>
  <c r="F30"/>
  <c r="D30"/>
  <c r="AN29"/>
  <c r="AM29"/>
  <c r="AJ29"/>
  <c r="AI29"/>
  <c r="AD29"/>
  <c r="AB29"/>
  <c r="AA29"/>
  <c r="Z29"/>
  <c r="X29"/>
  <c r="V29"/>
  <c r="T29"/>
  <c r="R29"/>
  <c r="P29"/>
  <c r="N29"/>
  <c r="L29"/>
  <c r="J29"/>
  <c r="H29"/>
  <c r="F29"/>
  <c r="D29"/>
  <c r="AN28"/>
  <c r="AM28"/>
  <c r="AJ28"/>
  <c r="AI28"/>
  <c r="AD28"/>
  <c r="AB28"/>
  <c r="AA28"/>
  <c r="Z28"/>
  <c r="X28"/>
  <c r="V28"/>
  <c r="T28"/>
  <c r="R28"/>
  <c r="P28"/>
  <c r="N28"/>
  <c r="L28"/>
  <c r="J28"/>
  <c r="H28"/>
  <c r="F28"/>
  <c r="D28"/>
  <c r="AN27"/>
  <c r="AM27"/>
  <c r="AJ27"/>
  <c r="AI27"/>
  <c r="AH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N26"/>
  <c r="AM26"/>
  <c r="AJ26"/>
  <c r="AI26"/>
  <c r="AD26"/>
  <c r="AB26"/>
  <c r="AA26"/>
  <c r="Z26"/>
  <c r="X26"/>
  <c r="V26"/>
  <c r="T26"/>
  <c r="R26"/>
  <c r="P26"/>
  <c r="N26"/>
  <c r="L26"/>
  <c r="J26"/>
  <c r="H26"/>
  <c r="F26"/>
  <c r="D26"/>
  <c r="AN25"/>
  <c r="AM25"/>
  <c r="AJ25"/>
  <c r="AI25"/>
  <c r="AD25"/>
  <c r="AB25"/>
  <c r="AA25"/>
  <c r="Z25"/>
  <c r="X25"/>
  <c r="V25"/>
  <c r="T25"/>
  <c r="R25"/>
  <c r="P25"/>
  <c r="N25"/>
  <c r="L25"/>
  <c r="J25"/>
  <c r="H25"/>
  <c r="F25"/>
  <c r="D25"/>
  <c r="AN24"/>
  <c r="AM24"/>
  <c r="AJ24"/>
  <c r="AI24"/>
  <c r="AD24"/>
  <c r="AB24"/>
  <c r="AA24"/>
  <c r="Z24"/>
  <c r="X24"/>
  <c r="V24"/>
  <c r="T24"/>
  <c r="R24"/>
  <c r="P24"/>
  <c r="N24"/>
  <c r="L24"/>
  <c r="J24"/>
  <c r="H24"/>
  <c r="F24"/>
  <c r="D24"/>
  <c r="AN23"/>
  <c r="AM23"/>
  <c r="AJ23"/>
  <c r="AI23"/>
  <c r="AD23"/>
  <c r="AB23"/>
  <c r="AA23"/>
  <c r="Z23"/>
  <c r="X23"/>
  <c r="V23"/>
  <c r="T23"/>
  <c r="R23"/>
  <c r="P23"/>
  <c r="N23"/>
  <c r="L23"/>
  <c r="J23"/>
  <c r="H23"/>
  <c r="F23"/>
  <c r="D23"/>
  <c r="AN22"/>
  <c r="AM22"/>
  <c r="AJ22"/>
  <c r="AI22"/>
  <c r="AD22"/>
  <c r="AB22"/>
  <c r="AA22"/>
  <c r="Z22"/>
  <c r="X22"/>
  <c r="V22"/>
  <c r="T22"/>
  <c r="R22"/>
  <c r="P22"/>
  <c r="N22"/>
  <c r="L22"/>
  <c r="J22"/>
  <c r="H22"/>
  <c r="F22"/>
  <c r="D22"/>
  <c r="AN21"/>
  <c r="AM21"/>
  <c r="AJ21"/>
  <c r="AI21"/>
  <c r="AH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N20"/>
  <c r="AM20"/>
  <c r="AJ20"/>
  <c r="AA20"/>
  <c r="AN19"/>
  <c r="AM19"/>
  <c r="AJ19"/>
  <c r="AI19"/>
  <c r="AD19"/>
  <c r="AB19"/>
  <c r="Z19"/>
  <c r="X19"/>
  <c r="V19"/>
  <c r="T19"/>
  <c r="R19"/>
  <c r="P19"/>
  <c r="N19"/>
  <c r="L19"/>
  <c r="J19"/>
  <c r="H19"/>
  <c r="F19"/>
  <c r="D19"/>
  <c r="AN18"/>
  <c r="AM18"/>
  <c r="AJ18"/>
  <c r="AA18"/>
  <c r="AN17"/>
  <c r="AM17"/>
  <c r="AJ17"/>
  <c r="AI17"/>
  <c r="AH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AN16"/>
  <c r="AM16"/>
  <c r="AJ16"/>
  <c r="AI16"/>
  <c r="AH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N15"/>
  <c r="AM15"/>
  <c r="AJ15"/>
  <c r="AA15"/>
  <c r="Y15"/>
  <c r="W15"/>
  <c r="U15"/>
  <c r="S15"/>
  <c r="Q15"/>
  <c r="O15"/>
  <c r="M15"/>
  <c r="K15"/>
  <c r="I15"/>
  <c r="G15"/>
  <c r="E15"/>
  <c r="C15"/>
  <c r="AN14"/>
  <c r="AM14"/>
  <c r="AJ14"/>
  <c r="AA14"/>
  <c r="AN13"/>
  <c r="AM13"/>
  <c r="AJ13"/>
  <c r="AA13"/>
  <c r="AN12"/>
  <c r="AM12"/>
  <c r="AJ12"/>
  <c r="AH12"/>
  <c r="AC12"/>
  <c r="AA12"/>
  <c r="Y12"/>
  <c r="W12"/>
  <c r="U12"/>
  <c r="S12"/>
  <c r="Q12"/>
  <c r="O12"/>
  <c r="M12"/>
  <c r="K12"/>
  <c r="I12"/>
  <c r="G12"/>
  <c r="E12"/>
  <c r="C12"/>
  <c r="AN11"/>
  <c r="AM11"/>
  <c r="AJ11"/>
  <c r="AI11"/>
  <c r="AD11"/>
  <c r="AB11"/>
  <c r="AA11"/>
  <c r="Z11"/>
  <c r="X11"/>
  <c r="V11"/>
  <c r="T11"/>
  <c r="R11"/>
  <c r="P11"/>
  <c r="N11"/>
  <c r="L11"/>
  <c r="J11"/>
  <c r="H11"/>
  <c r="F11"/>
  <c r="D11"/>
  <c r="AJ10"/>
  <c r="AI10"/>
  <c r="AH10"/>
  <c r="AD10"/>
  <c r="AC10"/>
  <c r="AB10"/>
  <c r="AA10"/>
  <c r="Z10"/>
  <c r="X10"/>
  <c r="V10"/>
  <c r="T10"/>
  <c r="R10"/>
  <c r="P10"/>
  <c r="O10"/>
  <c r="N10"/>
  <c r="L10"/>
  <c r="J10"/>
  <c r="H10"/>
  <c r="F10"/>
  <c r="D10"/>
  <c r="AN9"/>
  <c r="AM9"/>
  <c r="AJ9"/>
  <c r="AI9"/>
  <c r="AH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AN8"/>
  <c r="AM8"/>
  <c r="AJ8"/>
  <c r="AI8"/>
  <c r="AD8"/>
  <c r="AB8"/>
  <c r="Z8"/>
  <c r="X8"/>
  <c r="V8"/>
  <c r="T8"/>
  <c r="R8"/>
  <c r="P8"/>
  <c r="N8"/>
  <c r="L8"/>
  <c r="J8"/>
  <c r="H8"/>
  <c r="F8"/>
  <c r="D8"/>
  <c r="AN7"/>
  <c r="AM7"/>
  <c r="AJ7"/>
  <c r="AI7"/>
  <c r="AD7"/>
  <c r="AB7"/>
  <c r="AA7"/>
  <c r="Z7"/>
  <c r="X7"/>
  <c r="V7"/>
  <c r="T7"/>
  <c r="R7"/>
  <c r="P7"/>
  <c r="N7"/>
  <c r="L7"/>
  <c r="J7"/>
  <c r="H7"/>
  <c r="F7"/>
  <c r="D7"/>
  <c r="AN6"/>
  <c r="AM6"/>
  <c r="AJ6"/>
  <c r="AI6"/>
  <c r="AD6"/>
  <c r="AB6"/>
  <c r="AA6"/>
  <c r="Z6"/>
  <c r="X6"/>
  <c r="V6"/>
  <c r="T6"/>
  <c r="R6"/>
  <c r="P6"/>
  <c r="N6"/>
  <c r="L6"/>
  <c r="J6"/>
  <c r="H6"/>
  <c r="F6"/>
  <c r="D6"/>
  <c r="AN5"/>
  <c r="AM5"/>
  <c r="AJ5"/>
  <c r="AH5"/>
  <c r="AC5"/>
  <c r="AA5"/>
  <c r="Y5"/>
  <c r="W5"/>
  <c r="U5"/>
  <c r="S5"/>
  <c r="Q5"/>
  <c r="O5"/>
  <c r="M5"/>
  <c r="K5"/>
  <c r="I5"/>
  <c r="G5"/>
  <c r="E5"/>
  <c r="G33" i="16"/>
  <c r="G32"/>
  <c r="G31"/>
  <c r="G30"/>
  <c r="L25"/>
  <c r="G25"/>
  <c r="L24"/>
  <c r="G24"/>
  <c r="L23"/>
  <c r="G23"/>
  <c r="Z83" i="10"/>
  <c r="Z81"/>
  <c r="Z79"/>
  <c r="Z77"/>
  <c r="Z73"/>
  <c r="Z69"/>
  <c r="Z65"/>
  <c r="Z60"/>
  <c r="Z56"/>
  <c r="Z52"/>
  <c r="Z50"/>
  <c r="Z48"/>
  <c r="Z45"/>
  <c r="Z43"/>
  <c r="Z82"/>
  <c r="Z80"/>
  <c r="Z78"/>
  <c r="Z74"/>
  <c r="Z70"/>
  <c r="Z66"/>
  <c r="Z62"/>
  <c r="Z58"/>
  <c r="Z54"/>
  <c r="Z51"/>
  <c r="Z49"/>
  <c r="Z47"/>
  <c r="Z44"/>
  <c r="Z42"/>
  <c r="Z59"/>
  <c r="Z64"/>
  <c r="Z68"/>
  <c r="Z72"/>
  <c r="Z127"/>
  <c r="Z149"/>
  <c r="Z151"/>
  <c r="Z46"/>
  <c r="Z57"/>
  <c r="Z84"/>
  <c r="Z86"/>
  <c r="Z88"/>
  <c r="Z90"/>
  <c r="Z92"/>
  <c r="Z94"/>
  <c r="Z96"/>
  <c r="Z98"/>
  <c r="Z100"/>
  <c r="Z106"/>
  <c r="Z108"/>
  <c r="Z110"/>
  <c r="Z112"/>
  <c r="Z114"/>
  <c r="Z116"/>
  <c r="Z119"/>
  <c r="Z121"/>
  <c r="Z123"/>
  <c r="Z125"/>
  <c r="Z132"/>
  <c r="Z134"/>
  <c r="Z137"/>
  <c r="Z139"/>
  <c r="Z141"/>
  <c r="Z143"/>
  <c r="Z105"/>
  <c r="Z55"/>
  <c r="Z63"/>
  <c r="Z67"/>
  <c r="Z71"/>
  <c r="Z75"/>
  <c r="Z128"/>
  <c r="Z150"/>
  <c r="Z101"/>
  <c r="Z53"/>
  <c r="Z61"/>
  <c r="Z85"/>
  <c r="Z87"/>
  <c r="Z89"/>
  <c r="Z91"/>
  <c r="Z93"/>
  <c r="Z95"/>
  <c r="Z97"/>
  <c r="Z99"/>
  <c r="Z102"/>
  <c r="Z107"/>
  <c r="Z109"/>
  <c r="Z111"/>
  <c r="Z113"/>
  <c r="Z115"/>
  <c r="Z117"/>
  <c r="Z120"/>
  <c r="Z122"/>
  <c r="Z124"/>
  <c r="Z130"/>
  <c r="Z133"/>
  <c r="Z136"/>
  <c r="Z138"/>
  <c r="Z140"/>
  <c r="Z142"/>
  <c r="Z147"/>
  <c r="Z104"/>
  <c r="Z103"/>
  <c r="Z144"/>
  <c r="Z126"/>
  <c r="X132"/>
  <c r="X117"/>
  <c r="X92"/>
  <c r="X88"/>
  <c r="X134"/>
  <c r="X130"/>
  <c r="X122"/>
  <c r="X93"/>
  <c r="X90"/>
  <c r="X86"/>
  <c r="X42"/>
  <c r="X45"/>
  <c r="X50"/>
  <c r="X55"/>
  <c r="X59"/>
  <c r="X63"/>
  <c r="X65"/>
  <c r="X68"/>
  <c r="X71"/>
  <c r="X73"/>
  <c r="X77"/>
  <c r="X81"/>
  <c r="X87"/>
  <c r="X94"/>
  <c r="X96"/>
  <c r="X98"/>
  <c r="X100"/>
  <c r="X107"/>
  <c r="X109"/>
  <c r="X111"/>
  <c r="X113"/>
  <c r="X115"/>
  <c r="X123"/>
  <c r="X125"/>
  <c r="X137"/>
  <c r="X139"/>
  <c r="X141"/>
  <c r="X143"/>
  <c r="X44"/>
  <c r="X47"/>
  <c r="X51"/>
  <c r="X54"/>
  <c r="X58"/>
  <c r="X62"/>
  <c r="X70"/>
  <c r="X78"/>
  <c r="X82"/>
  <c r="X85"/>
  <c r="X105"/>
  <c r="X120"/>
  <c r="X127"/>
  <c r="X133"/>
  <c r="X150"/>
  <c r="X43"/>
  <c r="X48"/>
  <c r="X52"/>
  <c r="X56"/>
  <c r="X60"/>
  <c r="X64"/>
  <c r="X67"/>
  <c r="X69"/>
  <c r="X72"/>
  <c r="X75"/>
  <c r="X79"/>
  <c r="X83"/>
  <c r="X91"/>
  <c r="X95"/>
  <c r="X97"/>
  <c r="X99"/>
  <c r="X106"/>
  <c r="X108"/>
  <c r="X110"/>
  <c r="X112"/>
  <c r="X114"/>
  <c r="X116"/>
  <c r="X124"/>
  <c r="X136"/>
  <c r="X138"/>
  <c r="X140"/>
  <c r="X142"/>
  <c r="X147"/>
  <c r="X46"/>
  <c r="X49"/>
  <c r="X53"/>
  <c r="X57"/>
  <c r="X61"/>
  <c r="X66"/>
  <c r="X74"/>
  <c r="X80"/>
  <c r="X84"/>
  <c r="X89"/>
  <c r="X119"/>
  <c r="X121"/>
  <c r="X128"/>
  <c r="X149"/>
  <c r="X151"/>
  <c r="X101"/>
  <c r="X104"/>
  <c r="X103"/>
  <c r="X102"/>
  <c r="X76"/>
  <c r="X126"/>
  <c r="V83"/>
  <c r="V82"/>
  <c r="V81"/>
  <c r="V80"/>
  <c r="V79"/>
  <c r="V78"/>
  <c r="V77"/>
  <c r="V69"/>
  <c r="V57"/>
  <c r="V55"/>
  <c r="V42"/>
  <c r="V73"/>
  <c r="V65"/>
  <c r="V61"/>
  <c r="V52"/>
  <c r="V51"/>
  <c r="V50"/>
  <c r="V49"/>
  <c r="V48"/>
  <c r="V47"/>
  <c r="V45"/>
  <c r="V44"/>
  <c r="V43"/>
  <c r="V60"/>
  <c r="V67"/>
  <c r="V70"/>
  <c r="V84"/>
  <c r="V86"/>
  <c r="V90"/>
  <c r="V119"/>
  <c r="V121"/>
  <c r="V130"/>
  <c r="V134"/>
  <c r="V150"/>
  <c r="V105"/>
  <c r="V53"/>
  <c r="V56"/>
  <c r="V63"/>
  <c r="V66"/>
  <c r="V72"/>
  <c r="V87"/>
  <c r="V91"/>
  <c r="V94"/>
  <c r="V96"/>
  <c r="V98"/>
  <c r="V100"/>
  <c r="V107"/>
  <c r="V109"/>
  <c r="V111"/>
  <c r="V113"/>
  <c r="V115"/>
  <c r="V117"/>
  <c r="V124"/>
  <c r="V127"/>
  <c r="V132"/>
  <c r="V137"/>
  <c r="V139"/>
  <c r="V141"/>
  <c r="V143"/>
  <c r="V102"/>
  <c r="V59"/>
  <c r="V62"/>
  <c r="V68"/>
  <c r="V75"/>
  <c r="V85"/>
  <c r="V89"/>
  <c r="V93"/>
  <c r="V120"/>
  <c r="V122"/>
  <c r="V133"/>
  <c r="V149"/>
  <c r="V151"/>
  <c r="V46"/>
  <c r="V54"/>
  <c r="V58"/>
  <c r="V64"/>
  <c r="V71"/>
  <c r="V74"/>
  <c r="V88"/>
  <c r="V92"/>
  <c r="V95"/>
  <c r="V97"/>
  <c r="V99"/>
  <c r="V106"/>
  <c r="V108"/>
  <c r="V110"/>
  <c r="V112"/>
  <c r="V114"/>
  <c r="V116"/>
  <c r="V123"/>
  <c r="V125"/>
  <c r="V128"/>
  <c r="V136"/>
  <c r="V138"/>
  <c r="V140"/>
  <c r="V142"/>
  <c r="V147"/>
  <c r="V103"/>
  <c r="V101"/>
  <c r="V104"/>
  <c r="V76"/>
  <c r="V144"/>
  <c r="V126"/>
  <c r="T125"/>
  <c r="T119"/>
  <c r="T116"/>
  <c r="T93"/>
  <c r="T92"/>
  <c r="T42"/>
  <c r="T133"/>
  <c r="T123"/>
  <c r="T121"/>
  <c r="T91"/>
  <c r="T89"/>
  <c r="T87"/>
  <c r="T85"/>
  <c r="T53"/>
  <c r="T56"/>
  <c r="T61"/>
  <c r="T64"/>
  <c r="T66"/>
  <c r="T72"/>
  <c r="T74"/>
  <c r="T88"/>
  <c r="T94"/>
  <c r="T96"/>
  <c r="T98"/>
  <c r="T100"/>
  <c r="T107"/>
  <c r="T109"/>
  <c r="T111"/>
  <c r="T113"/>
  <c r="T115"/>
  <c r="T124"/>
  <c r="T128"/>
  <c r="T134"/>
  <c r="T150"/>
  <c r="T43"/>
  <c r="T45"/>
  <c r="T47"/>
  <c r="T49"/>
  <c r="T51"/>
  <c r="T55"/>
  <c r="T59"/>
  <c r="T62"/>
  <c r="T68"/>
  <c r="T70"/>
  <c r="T77"/>
  <c r="T79"/>
  <c r="T81"/>
  <c r="T83"/>
  <c r="T117"/>
  <c r="T130"/>
  <c r="T137"/>
  <c r="T139"/>
  <c r="T141"/>
  <c r="T143"/>
  <c r="T54"/>
  <c r="T58"/>
  <c r="T63"/>
  <c r="T65"/>
  <c r="T71"/>
  <c r="T73"/>
  <c r="T86"/>
  <c r="T90"/>
  <c r="T95"/>
  <c r="T97"/>
  <c r="T99"/>
  <c r="T103"/>
  <c r="T108"/>
  <c r="T110"/>
  <c r="T112"/>
  <c r="T114"/>
  <c r="T122"/>
  <c r="T127"/>
  <c r="T132"/>
  <c r="T149"/>
  <c r="T151"/>
  <c r="T44"/>
  <c r="T46"/>
  <c r="T48"/>
  <c r="T50"/>
  <c r="T52"/>
  <c r="T57"/>
  <c r="T60"/>
  <c r="T67"/>
  <c r="T69"/>
  <c r="T75"/>
  <c r="T78"/>
  <c r="T80"/>
  <c r="T82"/>
  <c r="T84"/>
  <c r="T120"/>
  <c r="T136"/>
  <c r="T138"/>
  <c r="T140"/>
  <c r="T142"/>
  <c r="T147"/>
  <c r="T105"/>
  <c r="T102"/>
  <c r="T101"/>
  <c r="T104"/>
  <c r="T106"/>
  <c r="T76"/>
  <c r="T144"/>
  <c r="T126"/>
  <c r="R82"/>
  <c r="R80"/>
  <c r="R78"/>
  <c r="R75"/>
  <c r="R72"/>
  <c r="R67"/>
  <c r="R64"/>
  <c r="R62"/>
  <c r="R56"/>
  <c r="R52"/>
  <c r="R50"/>
  <c r="R48"/>
  <c r="R45"/>
  <c r="R43"/>
  <c r="R83"/>
  <c r="R81"/>
  <c r="R79"/>
  <c r="R77"/>
  <c r="R71"/>
  <c r="R68"/>
  <c r="R60"/>
  <c r="R58"/>
  <c r="R54"/>
  <c r="R53"/>
  <c r="R51"/>
  <c r="R49"/>
  <c r="R47"/>
  <c r="R44"/>
  <c r="R42"/>
  <c r="R63"/>
  <c r="R70"/>
  <c r="R85"/>
  <c r="R89"/>
  <c r="R101"/>
  <c r="R117"/>
  <c r="R121"/>
  <c r="R127"/>
  <c r="R130"/>
  <c r="R136"/>
  <c r="R138"/>
  <c r="R140"/>
  <c r="R142"/>
  <c r="R147"/>
  <c r="R104"/>
  <c r="R55"/>
  <c r="R61"/>
  <c r="R66"/>
  <c r="R74"/>
  <c r="R88"/>
  <c r="R92"/>
  <c r="R94"/>
  <c r="R96"/>
  <c r="R98"/>
  <c r="R100"/>
  <c r="R108"/>
  <c r="R110"/>
  <c r="R112"/>
  <c r="R114"/>
  <c r="R116"/>
  <c r="R122"/>
  <c r="R125"/>
  <c r="R134"/>
  <c r="R150"/>
  <c r="R103"/>
  <c r="R57"/>
  <c r="R69"/>
  <c r="R84"/>
  <c r="R87"/>
  <c r="R91"/>
  <c r="R106"/>
  <c r="R120"/>
  <c r="R123"/>
  <c r="R128"/>
  <c r="R133"/>
  <c r="R137"/>
  <c r="R139"/>
  <c r="R141"/>
  <c r="R143"/>
  <c r="R46"/>
  <c r="R59"/>
  <c r="R65"/>
  <c r="R73"/>
  <c r="R86"/>
  <c r="R90"/>
  <c r="R93"/>
  <c r="R95"/>
  <c r="R97"/>
  <c r="R99"/>
  <c r="R107"/>
  <c r="R109"/>
  <c r="R111"/>
  <c r="R113"/>
  <c r="R115"/>
  <c r="R119"/>
  <c r="R124"/>
  <c r="R132"/>
  <c r="R149"/>
  <c r="R151"/>
  <c r="R102"/>
  <c r="R105"/>
  <c r="R144"/>
  <c r="R126"/>
  <c r="P136"/>
  <c r="P134"/>
  <c r="P124"/>
  <c r="P120"/>
  <c r="P93"/>
  <c r="P90"/>
  <c r="P86"/>
  <c r="P132"/>
  <c r="P130"/>
  <c r="P128"/>
  <c r="P92"/>
  <c r="P88"/>
  <c r="P53"/>
  <c r="P42"/>
  <c r="P45"/>
  <c r="P50"/>
  <c r="P54"/>
  <c r="P58"/>
  <c r="P60"/>
  <c r="P65"/>
  <c r="P68"/>
  <c r="P73"/>
  <c r="P77"/>
  <c r="P81"/>
  <c r="P87"/>
  <c r="P104"/>
  <c r="P122"/>
  <c r="P150"/>
  <c r="P44"/>
  <c r="P47"/>
  <c r="P51"/>
  <c r="P57"/>
  <c r="P63"/>
  <c r="P67"/>
  <c r="P70"/>
  <c r="P75"/>
  <c r="P80"/>
  <c r="P84"/>
  <c r="P89"/>
  <c r="P95"/>
  <c r="P97"/>
  <c r="P99"/>
  <c r="P107"/>
  <c r="P109"/>
  <c r="P111"/>
  <c r="P113"/>
  <c r="P115"/>
  <c r="P119"/>
  <c r="P123"/>
  <c r="P127"/>
  <c r="P137"/>
  <c r="P139"/>
  <c r="P141"/>
  <c r="P143"/>
  <c r="P43"/>
  <c r="P48"/>
  <c r="P52"/>
  <c r="P55"/>
  <c r="P59"/>
  <c r="P61"/>
  <c r="P66"/>
  <c r="P71"/>
  <c r="P74"/>
  <c r="P79"/>
  <c r="P83"/>
  <c r="P91"/>
  <c r="P117"/>
  <c r="P149"/>
  <c r="P151"/>
  <c r="P46"/>
  <c r="P49"/>
  <c r="P56"/>
  <c r="P62"/>
  <c r="P64"/>
  <c r="P69"/>
  <c r="P72"/>
  <c r="P78"/>
  <c r="P82"/>
  <c r="P85"/>
  <c r="P94"/>
  <c r="P96"/>
  <c r="P98"/>
  <c r="P100"/>
  <c r="P108"/>
  <c r="P110"/>
  <c r="P112"/>
  <c r="P114"/>
  <c r="P116"/>
  <c r="P121"/>
  <c r="P125"/>
  <c r="P133"/>
  <c r="P138"/>
  <c r="P140"/>
  <c r="P142"/>
  <c r="P147"/>
  <c r="P101"/>
  <c r="P103"/>
  <c r="P102"/>
  <c r="P106"/>
  <c r="P105"/>
  <c r="P76"/>
  <c r="P144"/>
  <c r="P126"/>
  <c r="P129"/>
  <c r="P145"/>
  <c r="P131"/>
  <c r="N83"/>
  <c r="N82"/>
  <c r="N81"/>
  <c r="N80"/>
  <c r="N79"/>
  <c r="N78"/>
  <c r="N77"/>
  <c r="N75"/>
  <c r="N74"/>
  <c r="N67"/>
  <c r="N66"/>
  <c r="N63"/>
  <c r="N61"/>
  <c r="N52"/>
  <c r="N51"/>
  <c r="N50"/>
  <c r="N49"/>
  <c r="N48"/>
  <c r="N47"/>
  <c r="N45"/>
  <c r="N44"/>
  <c r="N43"/>
  <c r="N71"/>
  <c r="N70"/>
  <c r="N59"/>
  <c r="N57"/>
  <c r="N55"/>
  <c r="N42"/>
  <c r="N53"/>
  <c r="N62"/>
  <c r="N68"/>
  <c r="N84"/>
  <c r="N88"/>
  <c r="N92"/>
  <c r="N95"/>
  <c r="N97"/>
  <c r="N99"/>
  <c r="N106"/>
  <c r="N108"/>
  <c r="N110"/>
  <c r="N112"/>
  <c r="N114"/>
  <c r="N116"/>
  <c r="N121"/>
  <c r="N125"/>
  <c r="N132"/>
  <c r="N137"/>
  <c r="N139"/>
  <c r="N141"/>
  <c r="N143"/>
  <c r="N54"/>
  <c r="N58"/>
  <c r="N69"/>
  <c r="N86"/>
  <c r="N90"/>
  <c r="N93"/>
  <c r="N120"/>
  <c r="N124"/>
  <c r="N128"/>
  <c r="N136"/>
  <c r="N150"/>
  <c r="N46"/>
  <c r="N60"/>
  <c r="N65"/>
  <c r="N73"/>
  <c r="N85"/>
  <c r="N89"/>
  <c r="N94"/>
  <c r="N96"/>
  <c r="N98"/>
  <c r="N100"/>
  <c r="N107"/>
  <c r="N109"/>
  <c r="N111"/>
  <c r="N113"/>
  <c r="N115"/>
  <c r="N119"/>
  <c r="N123"/>
  <c r="N130"/>
  <c r="N133"/>
  <c r="N138"/>
  <c r="N140"/>
  <c r="N142"/>
  <c r="N147"/>
  <c r="N56"/>
  <c r="N64"/>
  <c r="N72"/>
  <c r="N87"/>
  <c r="N91"/>
  <c r="N117"/>
  <c r="N122"/>
  <c r="N127"/>
  <c r="N134"/>
  <c r="N149"/>
  <c r="N151"/>
  <c r="N104"/>
  <c r="N101"/>
  <c r="N105"/>
  <c r="N102"/>
  <c r="N103"/>
  <c r="N76"/>
  <c r="N144"/>
  <c r="N126"/>
  <c r="N145"/>
  <c r="L139"/>
  <c r="L127"/>
  <c r="L119"/>
  <c r="L93"/>
  <c r="L92"/>
  <c r="L91"/>
  <c r="L89"/>
  <c r="L87"/>
  <c r="L85"/>
  <c r="L133"/>
  <c r="L123"/>
  <c r="L42"/>
  <c r="L44"/>
  <c r="L46"/>
  <c r="L48"/>
  <c r="L50"/>
  <c r="L52"/>
  <c r="L60"/>
  <c r="L62"/>
  <c r="L65"/>
  <c r="L67"/>
  <c r="L73"/>
  <c r="L75"/>
  <c r="L78"/>
  <c r="L80"/>
  <c r="L82"/>
  <c r="L84"/>
  <c r="L88"/>
  <c r="L94"/>
  <c r="L96"/>
  <c r="L98"/>
  <c r="L100"/>
  <c r="L108"/>
  <c r="L110"/>
  <c r="L112"/>
  <c r="L114"/>
  <c r="L116"/>
  <c r="L122"/>
  <c r="L137"/>
  <c r="L149"/>
  <c r="L151"/>
  <c r="L55"/>
  <c r="L57"/>
  <c r="L59"/>
  <c r="L69"/>
  <c r="L71"/>
  <c r="L117"/>
  <c r="L124"/>
  <c r="L130"/>
  <c r="L134"/>
  <c r="L140"/>
  <c r="L142"/>
  <c r="L147"/>
  <c r="L43"/>
  <c r="L45"/>
  <c r="L47"/>
  <c r="L49"/>
  <c r="L51"/>
  <c r="L53"/>
  <c r="L61"/>
  <c r="L63"/>
  <c r="L66"/>
  <c r="L68"/>
  <c r="L74"/>
  <c r="L77"/>
  <c r="L79"/>
  <c r="L81"/>
  <c r="L83"/>
  <c r="L86"/>
  <c r="L90"/>
  <c r="L95"/>
  <c r="L97"/>
  <c r="L99"/>
  <c r="L107"/>
  <c r="L109"/>
  <c r="L111"/>
  <c r="L113"/>
  <c r="L115"/>
  <c r="L120"/>
  <c r="L125"/>
  <c r="L138"/>
  <c r="L150"/>
  <c r="L54"/>
  <c r="L56"/>
  <c r="L58"/>
  <c r="L64"/>
  <c r="L70"/>
  <c r="L72"/>
  <c r="L121"/>
  <c r="L128"/>
  <c r="L132"/>
  <c r="L136"/>
  <c r="L141"/>
  <c r="L143"/>
  <c r="L104"/>
  <c r="L102"/>
  <c r="L103"/>
  <c r="L105"/>
  <c r="L106"/>
  <c r="L101"/>
  <c r="L76"/>
  <c r="L144"/>
  <c r="L126"/>
  <c r="L145"/>
  <c r="L131"/>
  <c r="L135"/>
  <c r="J83"/>
  <c r="J81"/>
  <c r="J79"/>
  <c r="J77"/>
  <c r="J73"/>
  <c r="J70"/>
  <c r="J65"/>
  <c r="J60"/>
  <c r="J58"/>
  <c r="J54"/>
  <c r="J53"/>
  <c r="J51"/>
  <c r="J49"/>
  <c r="J47"/>
  <c r="J44"/>
  <c r="J42"/>
  <c r="J82"/>
  <c r="J80"/>
  <c r="J78"/>
  <c r="J74"/>
  <c r="J69"/>
  <c r="J66"/>
  <c r="J62"/>
  <c r="J56"/>
  <c r="J52"/>
  <c r="J50"/>
  <c r="J48"/>
  <c r="J45"/>
  <c r="J43"/>
  <c r="J57"/>
  <c r="J67"/>
  <c r="J75"/>
  <c r="J117"/>
  <c r="J123"/>
  <c r="J127"/>
  <c r="J132"/>
  <c r="J134"/>
  <c r="J140"/>
  <c r="J142"/>
  <c r="J147"/>
  <c r="J59"/>
  <c r="J64"/>
  <c r="J72"/>
  <c r="J85"/>
  <c r="J87"/>
  <c r="J89"/>
  <c r="J91"/>
  <c r="J93"/>
  <c r="J95"/>
  <c r="J97"/>
  <c r="J99"/>
  <c r="J107"/>
  <c r="J109"/>
  <c r="J111"/>
  <c r="J113"/>
  <c r="J115"/>
  <c r="J119"/>
  <c r="J122"/>
  <c r="J128"/>
  <c r="J138"/>
  <c r="J149"/>
  <c r="J151"/>
  <c r="J46"/>
  <c r="J63"/>
  <c r="J68"/>
  <c r="J106"/>
  <c r="J121"/>
  <c r="J124"/>
  <c r="J130"/>
  <c r="J133"/>
  <c r="J136"/>
  <c r="J141"/>
  <c r="J143"/>
  <c r="J55"/>
  <c r="J61"/>
  <c r="J71"/>
  <c r="J84"/>
  <c r="J86"/>
  <c r="J88"/>
  <c r="J90"/>
  <c r="J92"/>
  <c r="J94"/>
  <c r="J96"/>
  <c r="J98"/>
  <c r="J100"/>
  <c r="J108"/>
  <c r="J110"/>
  <c r="J112"/>
  <c r="J114"/>
  <c r="J116"/>
  <c r="J120"/>
  <c r="J125"/>
  <c r="J137"/>
  <c r="J139"/>
  <c r="J150"/>
  <c r="J105"/>
  <c r="J102"/>
  <c r="J101"/>
  <c r="J104"/>
  <c r="J103"/>
  <c r="J76"/>
  <c r="J144"/>
  <c r="J126"/>
  <c r="H136"/>
  <c r="H132"/>
  <c r="H122"/>
  <c r="H117"/>
  <c r="H93"/>
  <c r="H90"/>
  <c r="H86"/>
  <c r="H54"/>
  <c r="H42"/>
  <c r="H134"/>
  <c r="H130"/>
  <c r="H92"/>
  <c r="H88"/>
  <c r="H46"/>
  <c r="H49"/>
  <c r="H53"/>
  <c r="H56"/>
  <c r="H61"/>
  <c r="H64"/>
  <c r="H69"/>
  <c r="H72"/>
  <c r="H78"/>
  <c r="H82"/>
  <c r="H85"/>
  <c r="H119"/>
  <c r="H123"/>
  <c r="H127"/>
  <c r="H138"/>
  <c r="H149"/>
  <c r="H151"/>
  <c r="H45"/>
  <c r="H50"/>
  <c r="H57"/>
  <c r="H60"/>
  <c r="H65"/>
  <c r="H68"/>
  <c r="H73"/>
  <c r="H77"/>
  <c r="H81"/>
  <c r="H87"/>
  <c r="H94"/>
  <c r="H96"/>
  <c r="H98"/>
  <c r="H100"/>
  <c r="H107"/>
  <c r="H109"/>
  <c r="H111"/>
  <c r="H113"/>
  <c r="H115"/>
  <c r="H121"/>
  <c r="H128"/>
  <c r="H140"/>
  <c r="H142"/>
  <c r="H147"/>
  <c r="H44"/>
  <c r="H47"/>
  <c r="H51"/>
  <c r="H55"/>
  <c r="H59"/>
  <c r="H62"/>
  <c r="H66"/>
  <c r="H71"/>
  <c r="H74"/>
  <c r="H80"/>
  <c r="H84"/>
  <c r="H89"/>
  <c r="H120"/>
  <c r="H124"/>
  <c r="H137"/>
  <c r="H139"/>
  <c r="H150"/>
  <c r="H43"/>
  <c r="H48"/>
  <c r="H52"/>
  <c r="H58"/>
  <c r="H63"/>
  <c r="H67"/>
  <c r="H70"/>
  <c r="H75"/>
  <c r="H79"/>
  <c r="H83"/>
  <c r="H91"/>
  <c r="H95"/>
  <c r="H97"/>
  <c r="H99"/>
  <c r="H105"/>
  <c r="H108"/>
  <c r="H110"/>
  <c r="H112"/>
  <c r="H114"/>
  <c r="H116"/>
  <c r="H125"/>
  <c r="H133"/>
  <c r="H141"/>
  <c r="H143"/>
  <c r="H101"/>
  <c r="H102"/>
  <c r="H103"/>
  <c r="H104"/>
  <c r="H106"/>
  <c r="H144"/>
  <c r="H126"/>
  <c r="F73"/>
  <c r="F72"/>
  <c r="F65"/>
  <c r="F61"/>
  <c r="F57"/>
  <c r="F55"/>
  <c r="F42"/>
  <c r="F84"/>
  <c r="F83"/>
  <c r="F82"/>
  <c r="F81"/>
  <c r="F80"/>
  <c r="F79"/>
  <c r="F78"/>
  <c r="F77"/>
  <c r="F69"/>
  <c r="F68"/>
  <c r="F54"/>
  <c r="F52"/>
  <c r="F51"/>
  <c r="F50"/>
  <c r="F49"/>
  <c r="F48"/>
  <c r="F47"/>
  <c r="F45"/>
  <c r="F44"/>
  <c r="F43"/>
  <c r="F63"/>
  <c r="F71"/>
  <c r="F85"/>
  <c r="F89"/>
  <c r="F93"/>
  <c r="F119"/>
  <c r="F122"/>
  <c r="F124"/>
  <c r="F132"/>
  <c r="F137"/>
  <c r="F139"/>
  <c r="F150"/>
  <c r="F46"/>
  <c r="F56"/>
  <c r="F60"/>
  <c r="F64"/>
  <c r="F70"/>
  <c r="F87"/>
  <c r="F91"/>
  <c r="F94"/>
  <c r="F96"/>
  <c r="F98"/>
  <c r="F100"/>
  <c r="F108"/>
  <c r="F110"/>
  <c r="F112"/>
  <c r="F114"/>
  <c r="F116"/>
  <c r="F125"/>
  <c r="F130"/>
  <c r="F134"/>
  <c r="F141"/>
  <c r="F143"/>
  <c r="F103"/>
  <c r="F59"/>
  <c r="F66"/>
  <c r="F74"/>
  <c r="F86"/>
  <c r="F90"/>
  <c r="F117"/>
  <c r="F120"/>
  <c r="F123"/>
  <c r="F128"/>
  <c r="F136"/>
  <c r="F138"/>
  <c r="F149"/>
  <c r="F151"/>
  <c r="F53"/>
  <c r="F58"/>
  <c r="F62"/>
  <c r="F67"/>
  <c r="F75"/>
  <c r="F88"/>
  <c r="F92"/>
  <c r="F95"/>
  <c r="F97"/>
  <c r="F99"/>
  <c r="F107"/>
  <c r="F109"/>
  <c r="F111"/>
  <c r="F113"/>
  <c r="F115"/>
  <c r="F121"/>
  <c r="F127"/>
  <c r="F133"/>
  <c r="F140"/>
  <c r="F142"/>
  <c r="F147"/>
  <c r="F102"/>
  <c r="F106"/>
  <c r="F101"/>
  <c r="F105"/>
  <c r="F104"/>
  <c r="F76"/>
  <c r="F144"/>
  <c r="F126"/>
  <c r="Z22"/>
  <c r="V23"/>
  <c r="T31"/>
  <c r="R16"/>
  <c r="N16"/>
  <c r="L16"/>
  <c r="J21"/>
  <c r="F33"/>
  <c r="D16"/>
  <c r="AK33"/>
  <c r="AK29"/>
  <c r="J6"/>
  <c r="F8"/>
  <c r="J8"/>
  <c r="V8"/>
  <c r="J10"/>
  <c r="Z10"/>
  <c r="AM11"/>
  <c r="AN11"/>
  <c r="J22"/>
  <c r="AK18"/>
  <c r="F9"/>
  <c r="N11"/>
  <c r="V11"/>
  <c r="Z17"/>
  <c r="AJ33"/>
  <c r="AM14"/>
  <c r="AN14"/>
  <c r="V25"/>
  <c r="F23"/>
  <c r="AK24"/>
  <c r="F6"/>
  <c r="J7"/>
  <c r="Z7"/>
  <c r="V17"/>
  <c r="AK32"/>
  <c r="AJ32"/>
  <c r="F22"/>
  <c r="Z9"/>
  <c r="F11"/>
  <c r="AM6"/>
  <c r="AN6"/>
  <c r="Z6"/>
  <c r="Z8"/>
  <c r="AA10"/>
  <c r="L10"/>
  <c r="T10"/>
  <c r="J11"/>
  <c r="Z11"/>
  <c r="AA6"/>
  <c r="AC6"/>
  <c r="V6"/>
  <c r="X7"/>
  <c r="AM13"/>
  <c r="AN13"/>
  <c r="Z25"/>
  <c r="AA7"/>
  <c r="L7"/>
  <c r="T7"/>
  <c r="F10"/>
  <c r="N10"/>
  <c r="V10"/>
  <c r="AA11"/>
  <c r="AC11"/>
  <c r="AL14"/>
  <c r="F25"/>
  <c r="J17"/>
  <c r="F17"/>
  <c r="F35"/>
  <c r="Z16"/>
  <c r="AC18"/>
  <c r="AJ18"/>
  <c r="AM7"/>
  <c r="AN7"/>
  <c r="P7"/>
  <c r="V9"/>
  <c r="Z23"/>
  <c r="F7"/>
  <c r="V7"/>
  <c r="H10"/>
  <c r="P10"/>
  <c r="X10"/>
  <c r="AL13"/>
  <c r="V22"/>
  <c r="V31"/>
  <c r="AA9"/>
  <c r="AM9"/>
  <c r="AN9"/>
  <c r="R33"/>
  <c r="AL8"/>
  <c r="R11"/>
  <c r="R9"/>
  <c r="R10"/>
  <c r="R22"/>
  <c r="R6"/>
  <c r="R7"/>
  <c r="R8"/>
  <c r="R28"/>
  <c r="R31"/>
  <c r="AK19"/>
  <c r="AA8"/>
  <c r="AM8"/>
  <c r="AN8"/>
  <c r="N28"/>
  <c r="N7"/>
  <c r="N8"/>
  <c r="N9"/>
  <c r="N33"/>
  <c r="N6"/>
  <c r="H40"/>
  <c r="H38"/>
  <c r="H39"/>
  <c r="H32"/>
  <c r="H29"/>
  <c r="H24"/>
  <c r="H19"/>
  <c r="H34"/>
  <c r="H30"/>
  <c r="H27"/>
  <c r="H26"/>
  <c r="P40"/>
  <c r="P38"/>
  <c r="P39"/>
  <c r="P32"/>
  <c r="P29"/>
  <c r="P24"/>
  <c r="P19"/>
  <c r="P34"/>
  <c r="P30"/>
  <c r="P27"/>
  <c r="P26"/>
  <c r="P21"/>
  <c r="X40"/>
  <c r="X38"/>
  <c r="X39"/>
  <c r="X32"/>
  <c r="X29"/>
  <c r="X24"/>
  <c r="X21"/>
  <c r="X19"/>
  <c r="X34"/>
  <c r="X30"/>
  <c r="X26"/>
  <c r="AK28"/>
  <c r="AC28"/>
  <c r="F39"/>
  <c r="F40"/>
  <c r="F37"/>
  <c r="F38"/>
  <c r="F34"/>
  <c r="F30"/>
  <c r="F26"/>
  <c r="F32"/>
  <c r="F29"/>
  <c r="F24"/>
  <c r="F19"/>
  <c r="N39"/>
  <c r="N40"/>
  <c r="N38"/>
  <c r="N34"/>
  <c r="N30"/>
  <c r="N27"/>
  <c r="N26"/>
  <c r="N21"/>
  <c r="N32"/>
  <c r="N29"/>
  <c r="N24"/>
  <c r="N19"/>
  <c r="V40"/>
  <c r="V39"/>
  <c r="V38"/>
  <c r="V34"/>
  <c r="V30"/>
  <c r="V26"/>
  <c r="V32"/>
  <c r="V29"/>
  <c r="V24"/>
  <c r="V19"/>
  <c r="AC20"/>
  <c r="AK20"/>
  <c r="AC30"/>
  <c r="AK30"/>
  <c r="AK31"/>
  <c r="AC31"/>
  <c r="AK23"/>
  <c r="AC23"/>
  <c r="AL7"/>
  <c r="D8"/>
  <c r="H8"/>
  <c r="L8"/>
  <c r="P8"/>
  <c r="T8"/>
  <c r="X8"/>
  <c r="AL10"/>
  <c r="H35"/>
  <c r="D33"/>
  <c r="D25"/>
  <c r="D22"/>
  <c r="H16"/>
  <c r="H31"/>
  <c r="L23"/>
  <c r="P16"/>
  <c r="X23"/>
  <c r="D36"/>
  <c r="X28"/>
  <c r="L33"/>
  <c r="T28"/>
  <c r="P22"/>
  <c r="D17"/>
  <c r="D31"/>
  <c r="D27"/>
  <c r="P28"/>
  <c r="X17"/>
  <c r="AM5"/>
  <c r="AN5"/>
  <c r="AL6"/>
  <c r="D7"/>
  <c r="H7"/>
  <c r="AL9"/>
  <c r="D10"/>
  <c r="AL11"/>
  <c r="AA13"/>
  <c r="H33"/>
  <c r="H25"/>
  <c r="H22"/>
  <c r="H17"/>
  <c r="F36"/>
  <c r="Z33"/>
  <c r="P31"/>
  <c r="J28"/>
  <c r="T23"/>
  <c r="N22"/>
  <c r="R17"/>
  <c r="F16"/>
  <c r="V33"/>
  <c r="J25"/>
  <c r="H21"/>
  <c r="F31"/>
  <c r="L25"/>
  <c r="T33"/>
  <c r="J31"/>
  <c r="P25"/>
  <c r="X22"/>
  <c r="L17"/>
  <c r="F28"/>
  <c r="J16"/>
  <c r="N31"/>
  <c r="D40"/>
  <c r="D38"/>
  <c r="D39"/>
  <c r="D32"/>
  <c r="D29"/>
  <c r="D24"/>
  <c r="D19"/>
  <c r="D34"/>
  <c r="D30"/>
  <c r="D26"/>
  <c r="L40"/>
  <c r="L38"/>
  <c r="L39"/>
  <c r="L32"/>
  <c r="L29"/>
  <c r="L24"/>
  <c r="L19"/>
  <c r="L34"/>
  <c r="L30"/>
  <c r="L27"/>
  <c r="L26"/>
  <c r="T40"/>
  <c r="T38"/>
  <c r="T39"/>
  <c r="T32"/>
  <c r="T29"/>
  <c r="T24"/>
  <c r="T19"/>
  <c r="T34"/>
  <c r="T30"/>
  <c r="T26"/>
  <c r="AK22"/>
  <c r="AC22"/>
  <c r="AC34"/>
  <c r="AK34"/>
  <c r="AC26"/>
  <c r="AK26"/>
  <c r="J39"/>
  <c r="J38"/>
  <c r="J40"/>
  <c r="J34"/>
  <c r="J30"/>
  <c r="J27"/>
  <c r="J26"/>
  <c r="J32"/>
  <c r="J29"/>
  <c r="J24"/>
  <c r="J19"/>
  <c r="R39"/>
  <c r="R38"/>
  <c r="R40"/>
  <c r="R34"/>
  <c r="R30"/>
  <c r="R26"/>
  <c r="R32"/>
  <c r="R29"/>
  <c r="R24"/>
  <c r="R19"/>
  <c r="Z40"/>
  <c r="Z39"/>
  <c r="Z38"/>
  <c r="Z34"/>
  <c r="Z30"/>
  <c r="Z26"/>
  <c r="Z32"/>
  <c r="Z29"/>
  <c r="Z24"/>
  <c r="Z21"/>
  <c r="Z19"/>
  <c r="AA5"/>
  <c r="AL5"/>
  <c r="D6"/>
  <c r="H6"/>
  <c r="L6"/>
  <c r="P6"/>
  <c r="T6"/>
  <c r="X6"/>
  <c r="D9"/>
  <c r="H9"/>
  <c r="L9"/>
  <c r="P9"/>
  <c r="T9"/>
  <c r="X9"/>
  <c r="D11"/>
  <c r="H11"/>
  <c r="L11"/>
  <c r="P11"/>
  <c r="T11"/>
  <c r="X11"/>
  <c r="AM12"/>
  <c r="AN12"/>
  <c r="D35"/>
  <c r="X31"/>
  <c r="T25"/>
  <c r="T22"/>
  <c r="X25"/>
  <c r="T17"/>
  <c r="P23"/>
  <c r="P33"/>
  <c r="L22"/>
  <c r="T16"/>
  <c r="AJ24"/>
  <c r="AL12"/>
  <c r="AA14"/>
  <c r="D28"/>
  <c r="P36"/>
  <c r="L35"/>
  <c r="J33"/>
  <c r="Z28"/>
  <c r="N25"/>
  <c r="D23"/>
  <c r="D21"/>
  <c r="V16"/>
  <c r="P35"/>
  <c r="L31"/>
  <c r="H23"/>
  <c r="N17"/>
  <c r="X33"/>
  <c r="H28"/>
  <c r="R23"/>
  <c r="N35"/>
  <c r="Z31"/>
  <c r="L28"/>
  <c r="N23"/>
  <c r="F21"/>
  <c r="X16"/>
  <c r="V28"/>
  <c r="R25"/>
  <c r="T21"/>
  <c r="J35"/>
  <c r="J23"/>
  <c r="P17"/>
  <c r="AK10"/>
  <c r="AK7"/>
  <c r="AJ23"/>
  <c r="AK6"/>
  <c r="AJ6"/>
  <c r="AJ28"/>
  <c r="AJ34"/>
  <c r="AK11"/>
  <c r="AJ11"/>
  <c r="AJ31"/>
  <c r="AB9"/>
  <c r="AK9"/>
  <c r="AB6"/>
  <c r="AC8"/>
  <c r="AJ8"/>
  <c r="AK8"/>
  <c r="AC5"/>
  <c r="AB7"/>
  <c r="AB11"/>
  <c r="AC14"/>
  <c r="AJ14"/>
  <c r="AK14"/>
  <c r="AK5"/>
  <c r="AA12"/>
  <c r="AB118"/>
  <c r="AJ26"/>
  <c r="AJ22"/>
  <c r="AJ30"/>
  <c r="AB10"/>
  <c r="AA15"/>
  <c r="AK13"/>
  <c r="AC13"/>
  <c r="AJ20"/>
  <c r="AB8"/>
  <c r="AB42"/>
  <c r="AB93"/>
  <c r="AB54"/>
  <c r="AB43"/>
  <c r="AB45"/>
  <c r="AB47"/>
  <c r="AB83"/>
  <c r="AB85"/>
  <c r="AB89"/>
  <c r="AB123"/>
  <c r="AB109"/>
  <c r="AB92"/>
  <c r="AB44"/>
  <c r="AB46"/>
  <c r="AB48"/>
  <c r="AB50"/>
  <c r="AB52"/>
  <c r="AB49"/>
  <c r="AB51"/>
  <c r="AB53"/>
  <c r="AB84"/>
  <c r="AB112"/>
  <c r="AB115"/>
  <c r="AB149"/>
  <c r="AB150"/>
  <c r="AB151"/>
  <c r="AB113"/>
  <c r="AB99"/>
  <c r="AB98"/>
  <c r="AB96"/>
  <c r="AB114"/>
  <c r="AB107"/>
  <c r="AB110"/>
  <c r="AB86"/>
  <c r="AB119"/>
  <c r="AB90"/>
  <c r="AB127"/>
  <c r="AB56"/>
  <c r="AB82"/>
  <c r="AB80"/>
  <c r="AB67"/>
  <c r="AB116"/>
  <c r="AB142"/>
  <c r="AB134"/>
  <c r="AB138"/>
  <c r="AB77"/>
  <c r="AB61"/>
  <c r="AB58"/>
  <c r="AB71"/>
  <c r="AB95"/>
  <c r="AB94"/>
  <c r="AB97"/>
  <c r="AB100"/>
  <c r="AB108"/>
  <c r="AB111"/>
  <c r="AB143"/>
  <c r="AB60"/>
  <c r="AB70"/>
  <c r="AB137"/>
  <c r="AB121"/>
  <c r="AB141"/>
  <c r="AB132"/>
  <c r="AB128"/>
  <c r="AB87"/>
  <c r="AB78"/>
  <c r="AB68"/>
  <c r="AB65"/>
  <c r="AB62"/>
  <c r="AB75"/>
  <c r="AB140"/>
  <c r="AB124"/>
  <c r="AB73"/>
  <c r="AB125"/>
  <c r="AB122"/>
  <c r="AB120"/>
  <c r="AB130"/>
  <c r="AB136"/>
  <c r="AB91"/>
  <c r="AB79"/>
  <c r="AB72"/>
  <c r="AB69"/>
  <c r="AB66"/>
  <c r="AB63"/>
  <c r="AB139"/>
  <c r="AB57"/>
  <c r="AB133"/>
  <c r="AB88"/>
  <c r="AB147"/>
  <c r="AB81"/>
  <c r="AB64"/>
  <c r="AB74"/>
  <c r="AB55"/>
  <c r="AB106"/>
  <c r="AB102"/>
  <c r="AB104"/>
  <c r="AB101"/>
  <c r="AB105"/>
  <c r="AB103"/>
  <c r="AB126"/>
  <c r="AD8"/>
  <c r="AJ5"/>
  <c r="AD11"/>
  <c r="AD6"/>
  <c r="AJ13"/>
  <c r="Y15"/>
  <c r="W15"/>
  <c r="U15"/>
  <c r="S15"/>
  <c r="Q15"/>
  <c r="O15"/>
  <c r="M15"/>
  <c r="K15"/>
  <c r="I15"/>
  <c r="G15"/>
  <c r="AC15"/>
  <c r="AB39"/>
  <c r="AB38"/>
  <c r="AB40"/>
  <c r="AB41"/>
  <c r="AA16"/>
  <c r="AB24"/>
  <c r="AB29"/>
  <c r="AB33"/>
  <c r="AB32"/>
  <c r="AB19"/>
  <c r="AC12"/>
  <c r="AD118"/>
  <c r="AB28"/>
  <c r="AB23"/>
  <c r="AB34"/>
  <c r="AB30"/>
  <c r="AB22"/>
  <c r="AB26"/>
  <c r="AB31"/>
  <c r="AK12"/>
  <c r="AD151"/>
  <c r="AD149"/>
  <c r="AD143"/>
  <c r="AD134"/>
  <c r="AD132"/>
  <c r="AD127"/>
  <c r="AD125"/>
  <c r="AD123"/>
  <c r="AD121"/>
  <c r="AD119"/>
  <c r="AD116"/>
  <c r="AD92"/>
  <c r="AD90"/>
  <c r="AD88"/>
  <c r="AD86"/>
  <c r="AD84"/>
  <c r="AD82"/>
  <c r="AD80"/>
  <c r="AD78"/>
  <c r="AD75"/>
  <c r="AD73"/>
  <c r="AD71"/>
  <c r="AD69"/>
  <c r="AD67"/>
  <c r="AD65"/>
  <c r="AD63"/>
  <c r="AD61"/>
  <c r="AD57"/>
  <c r="AD55"/>
  <c r="AD52"/>
  <c r="AD50"/>
  <c r="AD48"/>
  <c r="AD45"/>
  <c r="AD43"/>
  <c r="AD150"/>
  <c r="AD147"/>
  <c r="AD136"/>
  <c r="AD133"/>
  <c r="AD130"/>
  <c r="AD128"/>
  <c r="AD124"/>
  <c r="AD122"/>
  <c r="AD120"/>
  <c r="AD93"/>
  <c r="AD91"/>
  <c r="AD89"/>
  <c r="AD87"/>
  <c r="AD85"/>
  <c r="AD83"/>
  <c r="AD81"/>
  <c r="AD79"/>
  <c r="AD77"/>
  <c r="AD74"/>
  <c r="AD72"/>
  <c r="AD70"/>
  <c r="AD68"/>
  <c r="AD66"/>
  <c r="AD64"/>
  <c r="AD62"/>
  <c r="AD60"/>
  <c r="AD58"/>
  <c r="AD56"/>
  <c r="AD54"/>
  <c r="AD51"/>
  <c r="AD49"/>
  <c r="AD47"/>
  <c r="AD44"/>
  <c r="AD113"/>
  <c r="AD46"/>
  <c r="AD98"/>
  <c r="AD109"/>
  <c r="AD111"/>
  <c r="AD112"/>
  <c r="AD114"/>
  <c r="AD94"/>
  <c r="AD108"/>
  <c r="AD115"/>
  <c r="AD53"/>
  <c r="AD107"/>
  <c r="AD99"/>
  <c r="AD95"/>
  <c r="AD140"/>
  <c r="AD137"/>
  <c r="AD96"/>
  <c r="AD110"/>
  <c r="AD100"/>
  <c r="AD138"/>
  <c r="AD139"/>
  <c r="AD141"/>
  <c r="AD97"/>
  <c r="AD101"/>
  <c r="AD102"/>
  <c r="AD103"/>
  <c r="AD105"/>
  <c r="AD104"/>
  <c r="AD106"/>
  <c r="AD126"/>
  <c r="AJ12"/>
  <c r="AB16"/>
  <c r="AK16"/>
  <c r="E15"/>
  <c r="AL15"/>
  <c r="AK15"/>
  <c r="AJ15"/>
  <c r="AM15"/>
  <c r="AN15"/>
  <c r="AD39"/>
  <c r="AD38"/>
  <c r="AD32"/>
  <c r="AD24"/>
  <c r="AD29"/>
  <c r="AD33"/>
  <c r="AD30"/>
  <c r="AD23"/>
  <c r="AD34"/>
  <c r="AD26"/>
  <c r="AD31"/>
  <c r="AD22"/>
  <c r="AD28"/>
  <c r="AC7"/>
  <c r="AD7"/>
  <c r="AC10"/>
  <c r="AD10"/>
  <c r="AI10"/>
  <c r="AC9"/>
  <c r="AJ9"/>
  <c r="AC16"/>
  <c r="AD16"/>
  <c r="K21"/>
  <c r="L21"/>
  <c r="Q21"/>
  <c r="U21"/>
  <c r="V21" s="1"/>
  <c r="AC19"/>
  <c r="AJ19"/>
  <c r="E27"/>
  <c r="F27"/>
  <c r="M36"/>
  <c r="K36"/>
  <c r="L36" s="1"/>
  <c r="K37"/>
  <c r="L37" s="1"/>
  <c r="O37"/>
  <c r="P37" s="1"/>
  <c r="S41"/>
  <c r="T41"/>
  <c r="Q41"/>
  <c r="R41"/>
  <c r="G41"/>
  <c r="H41"/>
  <c r="I41"/>
  <c r="K41"/>
  <c r="L41"/>
  <c r="M41"/>
  <c r="N41"/>
  <c r="O41"/>
  <c r="P41"/>
  <c r="U41"/>
  <c r="V41"/>
  <c r="W41"/>
  <c r="X41"/>
  <c r="Y41"/>
  <c r="Z41"/>
  <c r="AC41"/>
  <c r="AJ41"/>
  <c r="AC42"/>
  <c r="AJ42" s="1"/>
  <c r="AJ43"/>
  <c r="C37"/>
  <c r="D37" s="1"/>
  <c r="AC40"/>
  <c r="AD40"/>
  <c r="E41"/>
  <c r="F41"/>
  <c r="C41"/>
  <c r="D41"/>
  <c r="AJ55"/>
  <c r="AJ66"/>
  <c r="AJ45"/>
  <c r="AJ53"/>
  <c r="AJ57"/>
  <c r="AJ51"/>
  <c r="AJ68"/>
  <c r="AJ77"/>
  <c r="AJ85"/>
  <c r="AJ83"/>
  <c r="AJ87"/>
  <c r="AJ78"/>
  <c r="AJ86"/>
  <c r="AJ127"/>
  <c r="AJ104"/>
  <c r="AJ120"/>
  <c r="Y164"/>
  <c r="AN147"/>
  <c r="AJ150"/>
  <c r="AD42"/>
  <c r="AM142"/>
  <c r="AN142" s="1"/>
  <c r="AJ50"/>
  <c r="AJ47"/>
  <c r="AJ10"/>
  <c r="AM126"/>
  <c r="AN126"/>
  <c r="AM41"/>
  <c r="AN41"/>
  <c r="AJ122"/>
  <c r="AJ84"/>
  <c r="AC162"/>
  <c r="AL126"/>
  <c r="AK126"/>
  <c r="AJ7"/>
  <c r="AL41"/>
  <c r="AK41"/>
  <c r="Y166"/>
  <c r="AL142"/>
  <c r="AK142" s="1"/>
  <c r="J41"/>
  <c r="AD41"/>
  <c r="AM21"/>
  <c r="AN21" s="1"/>
  <c r="I166"/>
  <c r="AJ40"/>
  <c r="AJ90"/>
  <c r="AJ65"/>
  <c r="AJ52"/>
  <c r="Q166"/>
  <c r="AJ121"/>
  <c r="AJ88"/>
  <c r="AD19"/>
  <c r="R21"/>
  <c r="AL21"/>
  <c r="AD9"/>
  <c r="AJ56"/>
  <c r="AJ138"/>
  <c r="AJ126"/>
  <c r="AJ115"/>
  <c r="AJ91"/>
  <c r="AJ79"/>
  <c r="AL93"/>
  <c r="AK93"/>
  <c r="AJ93"/>
  <c r="AM93"/>
  <c r="AN93"/>
  <c r="AJ62"/>
  <c r="N36"/>
  <c r="AJ16"/>
  <c r="AA164"/>
  <c r="M37" i="23"/>
  <c r="M131" s="1"/>
  <c r="N37"/>
  <c r="AC8"/>
  <c r="AD8"/>
  <c r="AJ8"/>
  <c r="AC43"/>
  <c r="AJ43"/>
  <c r="AD43"/>
  <c r="AC51"/>
  <c r="AD51"/>
  <c r="AC53"/>
  <c r="AJ53"/>
  <c r="AC55"/>
  <c r="AD55"/>
  <c r="AC56"/>
  <c r="AJ56"/>
  <c r="AC57"/>
  <c r="AJ57"/>
  <c r="AC68"/>
  <c r="AD68"/>
  <c r="AC86"/>
  <c r="AJ86"/>
  <c r="M131" i="24"/>
  <c r="AJ68" i="23"/>
  <c r="AJ51"/>
  <c r="AJ55"/>
  <c r="AD86"/>
  <c r="AD57"/>
  <c r="AD56"/>
  <c r="AD53"/>
  <c r="N131" i="24"/>
  <c r="M135"/>
  <c r="N135" s="1"/>
  <c r="AC45"/>
  <c r="AC46"/>
  <c r="AC77"/>
  <c r="AJ77"/>
  <c r="AC83"/>
  <c r="AJ83"/>
  <c r="AC85"/>
  <c r="AJ85"/>
  <c r="AC87"/>
  <c r="AJ87"/>
  <c r="AJ115"/>
  <c r="AJ104"/>
  <c r="AC117"/>
  <c r="AJ117" s="1"/>
  <c r="AC122"/>
  <c r="AJ122"/>
  <c r="AC59"/>
  <c r="AJ59" s="1"/>
  <c r="AI59"/>
  <c r="AB59"/>
  <c r="AC43"/>
  <c r="AJ43"/>
  <c r="AC91" i="23"/>
  <c r="AJ91"/>
  <c r="AJ46" i="24"/>
  <c r="AD91" i="23"/>
  <c r="AJ97" i="24"/>
  <c r="AD59"/>
  <c r="AJ45"/>
  <c r="AC51"/>
  <c r="AJ51"/>
  <c r="AC57"/>
  <c r="AJ57"/>
  <c r="AJ102"/>
  <c r="AC53"/>
  <c r="AJ53"/>
  <c r="AC56"/>
  <c r="AC55"/>
  <c r="AJ55"/>
  <c r="AJ56"/>
  <c r="AC120" i="23"/>
  <c r="AJ120"/>
  <c r="Q129" i="24"/>
  <c r="Q129" i="10"/>
  <c r="R129" s="1"/>
  <c r="AA12" i="24"/>
  <c r="AB118"/>
  <c r="AC32"/>
  <c r="AJ32"/>
  <c r="AC33"/>
  <c r="AJ33"/>
  <c r="AC25"/>
  <c r="AJ25" s="1"/>
  <c r="AC26"/>
  <c r="AJ26"/>
  <c r="AC28"/>
  <c r="AJ28"/>
  <c r="AC29"/>
  <c r="AJ29"/>
  <c r="AC65"/>
  <c r="AJ65"/>
  <c r="AC44"/>
  <c r="AJ44"/>
  <c r="AC62"/>
  <c r="AC63"/>
  <c r="AJ63"/>
  <c r="AC125"/>
  <c r="AJ125"/>
  <c r="AC64"/>
  <c r="AJ64"/>
  <c r="AC66"/>
  <c r="AJ66"/>
  <c r="AC67"/>
  <c r="AJ67"/>
  <c r="AC47"/>
  <c r="AJ47"/>
  <c r="AC48"/>
  <c r="AJ48"/>
  <c r="AC58"/>
  <c r="AJ58"/>
  <c r="AC68"/>
  <c r="AJ99"/>
  <c r="AC52"/>
  <c r="AJ52"/>
  <c r="AC54"/>
  <c r="AJ54"/>
  <c r="AC60"/>
  <c r="AJ60"/>
  <c r="AC61"/>
  <c r="AJ61"/>
  <c r="AC81"/>
  <c r="AJ81"/>
  <c r="AJ95"/>
  <c r="AC128"/>
  <c r="AJ128"/>
  <c r="AC140"/>
  <c r="AJ140"/>
  <c r="AH12"/>
  <c r="AJ62"/>
  <c r="AC76"/>
  <c r="AJ76" s="1"/>
  <c r="AB115"/>
  <c r="AB31"/>
  <c r="AB74"/>
  <c r="AJ68"/>
  <c r="AA16"/>
  <c r="AA126"/>
  <c r="AB126"/>
  <c r="AB73"/>
  <c r="AB71"/>
  <c r="AB75"/>
  <c r="AB72"/>
  <c r="AB70"/>
  <c r="AB76"/>
  <c r="Q145"/>
  <c r="AS129"/>
  <c r="AB67"/>
  <c r="AB82"/>
  <c r="AI140"/>
  <c r="AI139"/>
  <c r="AI138"/>
  <c r="AI143"/>
  <c r="AI141"/>
  <c r="AI150"/>
  <c r="AI148"/>
  <c r="AI142"/>
  <c r="AI144"/>
  <c r="AI137"/>
  <c r="AI136"/>
  <c r="AI129"/>
  <c r="AI127"/>
  <c r="AI128"/>
  <c r="AI126"/>
  <c r="AI121"/>
  <c r="AI98"/>
  <c r="AI97"/>
  <c r="AI92"/>
  <c r="AI91"/>
  <c r="AI90"/>
  <c r="AI87"/>
  <c r="AI83"/>
  <c r="AI78"/>
  <c r="AI65"/>
  <c r="AI56"/>
  <c r="AI54"/>
  <c r="AI49"/>
  <c r="AI47"/>
  <c r="AI46"/>
  <c r="AI44"/>
  <c r="AI39"/>
  <c r="AI120"/>
  <c r="AI107"/>
  <c r="AI105"/>
  <c r="AI104"/>
  <c r="AI95"/>
  <c r="AI86"/>
  <c r="AI82"/>
  <c r="AI81"/>
  <c r="AI77"/>
  <c r="AI55"/>
  <c r="AI53"/>
  <c r="AI48"/>
  <c r="AI45"/>
  <c r="AI43"/>
  <c r="AI41"/>
  <c r="AI117"/>
  <c r="AI103"/>
  <c r="AI101"/>
  <c r="AI96"/>
  <c r="AI94"/>
  <c r="AI66"/>
  <c r="AI61"/>
  <c r="AI38"/>
  <c r="AI63"/>
  <c r="AI122"/>
  <c r="AI84"/>
  <c r="AI80"/>
  <c r="AI58"/>
  <c r="AI125"/>
  <c r="AI116"/>
  <c r="AI99"/>
  <c r="AI85"/>
  <c r="AI79"/>
  <c r="AI68"/>
  <c r="AI62"/>
  <c r="AI57"/>
  <c r="AI52"/>
  <c r="AI50"/>
  <c r="AI42"/>
  <c r="AI40"/>
  <c r="AI119"/>
  <c r="AI102"/>
  <c r="AI89"/>
  <c r="AI67"/>
  <c r="AI60"/>
  <c r="AI88"/>
  <c r="AI64"/>
  <c r="AI51"/>
  <c r="AI76"/>
  <c r="AI115"/>
  <c r="AI34"/>
  <c r="AI32"/>
  <c r="AI24"/>
  <c r="AI22"/>
  <c r="AI19"/>
  <c r="AH17"/>
  <c r="AI23"/>
  <c r="AI33"/>
  <c r="AI30"/>
  <c r="AI28"/>
  <c r="AI26"/>
  <c r="AH16"/>
  <c r="AI29"/>
  <c r="AI25"/>
  <c r="AI93"/>
  <c r="AI31"/>
  <c r="AB136"/>
  <c r="AB17"/>
  <c r="R129"/>
  <c r="AB48"/>
  <c r="AB61"/>
  <c r="AB56"/>
  <c r="AD120" i="23"/>
  <c r="AB116" i="24"/>
  <c r="AB38"/>
  <c r="AB49"/>
  <c r="AB22"/>
  <c r="AB29"/>
  <c r="AB143"/>
  <c r="AB128"/>
  <c r="AB64"/>
  <c r="AB46"/>
  <c r="AB54"/>
  <c r="AB80"/>
  <c r="AB33"/>
  <c r="AB42"/>
  <c r="AB150"/>
  <c r="AB137"/>
  <c r="AB92"/>
  <c r="AB119"/>
  <c r="AB66"/>
  <c r="AB77"/>
  <c r="AB55"/>
  <c r="AB117"/>
  <c r="AB45"/>
  <c r="AB88"/>
  <c r="AB19"/>
  <c r="Q131"/>
  <c r="AB141"/>
  <c r="AB58"/>
  <c r="AB125"/>
  <c r="AB84"/>
  <c r="AB63"/>
  <c r="AB32"/>
  <c r="AB23"/>
  <c r="AB69"/>
  <c r="AB25"/>
  <c r="AB24"/>
  <c r="AB142"/>
  <c r="AB140"/>
  <c r="AB144"/>
  <c r="AB86"/>
  <c r="AB47"/>
  <c r="AB89"/>
  <c r="AB41"/>
  <c r="AB62"/>
  <c r="AB81"/>
  <c r="AB52"/>
  <c r="AB83"/>
  <c r="AB57"/>
  <c r="AB122"/>
  <c r="AB78"/>
  <c r="AB26"/>
  <c r="AB121"/>
  <c r="AC12"/>
  <c r="AD118"/>
  <c r="AB43"/>
  <c r="AB28"/>
  <c r="AK12"/>
  <c r="AB139"/>
  <c r="AB138"/>
  <c r="AB127"/>
  <c r="AB68"/>
  <c r="AB120"/>
  <c r="AB90"/>
  <c r="AB65"/>
  <c r="AB50"/>
  <c r="AB85"/>
  <c r="AB60"/>
  <c r="AB39"/>
  <c r="AB87"/>
  <c r="AB44"/>
  <c r="AB30"/>
  <c r="AB79"/>
  <c r="AB40"/>
  <c r="AB51"/>
  <c r="AB34"/>
  <c r="AB91"/>
  <c r="AB53"/>
  <c r="AB93"/>
  <c r="AB21"/>
  <c r="AK16"/>
  <c r="AD115"/>
  <c r="Q145" i="10"/>
  <c r="R145" s="1"/>
  <c r="AD74" i="24"/>
  <c r="AC16"/>
  <c r="AD16"/>
  <c r="AB16"/>
  <c r="AA129"/>
  <c r="AC126"/>
  <c r="AJ126"/>
  <c r="AK126"/>
  <c r="AD32"/>
  <c r="AD73"/>
  <c r="AD71"/>
  <c r="AD75"/>
  <c r="AD72"/>
  <c r="AD70"/>
  <c r="AD76"/>
  <c r="AD60"/>
  <c r="AS145"/>
  <c r="AT145" s="1"/>
  <c r="R145"/>
  <c r="R131"/>
  <c r="AS131"/>
  <c r="AI16"/>
  <c r="AH21"/>
  <c r="AJ21"/>
  <c r="AI21"/>
  <c r="AI17"/>
  <c r="AJ17"/>
  <c r="AJ12"/>
  <c r="Q135"/>
  <c r="AD39"/>
  <c r="AD89"/>
  <c r="AD56"/>
  <c r="AD29"/>
  <c r="AD17"/>
  <c r="AD78"/>
  <c r="AD66"/>
  <c r="AD34"/>
  <c r="AD136"/>
  <c r="AD84"/>
  <c r="AD45"/>
  <c r="AD54"/>
  <c r="AD92"/>
  <c r="AD87"/>
  <c r="AD68"/>
  <c r="AD28"/>
  <c r="AD64"/>
  <c r="AD55"/>
  <c r="AD31"/>
  <c r="AD79"/>
  <c r="AD69"/>
  <c r="AD82"/>
  <c r="AD53"/>
  <c r="AD52"/>
  <c r="AD19"/>
  <c r="AD127"/>
  <c r="AD63"/>
  <c r="AD80"/>
  <c r="AD22"/>
  <c r="AD90"/>
  <c r="AD117"/>
  <c r="AD93"/>
  <c r="AD41"/>
  <c r="AD116"/>
  <c r="AD50"/>
  <c r="AD30"/>
  <c r="AD91"/>
  <c r="AD150"/>
  <c r="AD51"/>
  <c r="AD77"/>
  <c r="AD86"/>
  <c r="AD49"/>
  <c r="AD81"/>
  <c r="AD140"/>
  <c r="AD122"/>
  <c r="AD120"/>
  <c r="AD83"/>
  <c r="AD141"/>
  <c r="AD125"/>
  <c r="AD44"/>
  <c r="AD139"/>
  <c r="AD85"/>
  <c r="AD26"/>
  <c r="AD62"/>
  <c r="AD48"/>
  <c r="AD46"/>
  <c r="AD25"/>
  <c r="AD47"/>
  <c r="AD57"/>
  <c r="AD24"/>
  <c r="AD143"/>
  <c r="AD33"/>
  <c r="AD65"/>
  <c r="AD119"/>
  <c r="AD40"/>
  <c r="AD88"/>
  <c r="AD121"/>
  <c r="AD38"/>
  <c r="AD67"/>
  <c r="AD61"/>
  <c r="AD138"/>
  <c r="AD43"/>
  <c r="AD23"/>
  <c r="AD58"/>
  <c r="AD142"/>
  <c r="AD128"/>
  <c r="AD42"/>
  <c r="AD21"/>
  <c r="AD137"/>
  <c r="AJ16"/>
  <c r="AA145"/>
  <c r="AB145" s="1"/>
  <c r="AC129"/>
  <c r="AD129" s="1"/>
  <c r="AB129"/>
  <c r="AD126"/>
  <c r="R135"/>
  <c r="AS135"/>
  <c r="Q146"/>
  <c r="AS146"/>
  <c r="R146"/>
  <c r="Q35" i="23"/>
  <c r="R35" s="1"/>
  <c r="Q27" i="10"/>
  <c r="Q36" i="23"/>
  <c r="Q3" i="28" s="1"/>
  <c r="R27" i="10"/>
  <c r="AC25" i="23"/>
  <c r="AJ25" s="1"/>
  <c r="AC47"/>
  <c r="AJ47"/>
  <c r="AC88"/>
  <c r="AD88"/>
  <c r="AJ115"/>
  <c r="AJ97"/>
  <c r="AD47"/>
  <c r="AJ88"/>
  <c r="AJ102"/>
  <c r="AC127"/>
  <c r="AD127"/>
  <c r="U36" i="24"/>
  <c r="U37" s="1"/>
  <c r="I129"/>
  <c r="I129" i="10" s="1"/>
  <c r="J129" s="1"/>
  <c r="AC7" i="24"/>
  <c r="AJ7"/>
  <c r="AM15"/>
  <c r="AN15"/>
  <c r="H129"/>
  <c r="AH145"/>
  <c r="AI145"/>
  <c r="AD7"/>
  <c r="AL129"/>
  <c r="AK129" s="1"/>
  <c r="I145"/>
  <c r="J145" s="1"/>
  <c r="AL27"/>
  <c r="AK27"/>
  <c r="AC27"/>
  <c r="AD27"/>
  <c r="AA35"/>
  <c r="AB27"/>
  <c r="AH27"/>
  <c r="S35"/>
  <c r="T35" s="1"/>
  <c r="AM27"/>
  <c r="AN27"/>
  <c r="AJ127" i="23"/>
  <c r="AJ104"/>
  <c r="AI27" i="24"/>
  <c r="AH35"/>
  <c r="AM35"/>
  <c r="AN35" s="1"/>
  <c r="AL35"/>
  <c r="AK35" s="1"/>
  <c r="AC35"/>
  <c r="AD35" s="1"/>
  <c r="AB35"/>
  <c r="AA36"/>
  <c r="AC36" s="1"/>
  <c r="AD36" s="1"/>
  <c r="AJ27"/>
  <c r="AH36"/>
  <c r="AI35"/>
  <c r="AJ35"/>
  <c r="AH37"/>
  <c r="AI36"/>
  <c r="AI37"/>
  <c r="AH131"/>
  <c r="AH135"/>
  <c r="AI131"/>
  <c r="U27" i="10"/>
  <c r="V27"/>
  <c r="W27"/>
  <c r="X27"/>
  <c r="Y27"/>
  <c r="Z27"/>
  <c r="U35" i="23"/>
  <c r="U35" i="10" s="1"/>
  <c r="V35" s="1"/>
  <c r="W35" i="23"/>
  <c r="W36" s="1"/>
  <c r="W144"/>
  <c r="W6" i="28" s="1"/>
  <c r="AH144" i="23"/>
  <c r="AC6"/>
  <c r="AD6"/>
  <c r="AC10"/>
  <c r="AD10"/>
  <c r="AI10"/>
  <c r="AC18"/>
  <c r="AJ18"/>
  <c r="AC15"/>
  <c r="AJ15"/>
  <c r="AC31"/>
  <c r="AD31"/>
  <c r="AJ31"/>
  <c r="AC52"/>
  <c r="AD52"/>
  <c r="AC39"/>
  <c r="AJ39"/>
  <c r="AC54"/>
  <c r="AJ54"/>
  <c r="AC44"/>
  <c r="AC49"/>
  <c r="AD49"/>
  <c r="AJ49"/>
  <c r="AC123"/>
  <c r="AJ123"/>
  <c r="AJ99"/>
  <c r="AC84"/>
  <c r="AD84"/>
  <c r="AD69"/>
  <c r="AC133"/>
  <c r="AJ133"/>
  <c r="AC122"/>
  <c r="AD122"/>
  <c r="AC143"/>
  <c r="AJ143"/>
  <c r="AC80"/>
  <c r="AJ80"/>
  <c r="AJ144"/>
  <c r="AH145"/>
  <c r="AI145"/>
  <c r="AI144"/>
  <c r="AJ6"/>
  <c r="AL144"/>
  <c r="AK144" s="1"/>
  <c r="AM144"/>
  <c r="X144"/>
  <c r="W145"/>
  <c r="AJ69"/>
  <c r="AJ10"/>
  <c r="Y35"/>
  <c r="Y35" i="10" s="1"/>
  <c r="Z35" s="1"/>
  <c r="X35" i="23"/>
  <c r="AD143"/>
  <c r="AC76"/>
  <c r="AJ76" s="1"/>
  <c r="AD80"/>
  <c r="AD44"/>
  <c r="AD39"/>
  <c r="AJ44"/>
  <c r="W35" i="10"/>
  <c r="X35" s="1"/>
  <c r="AM27" i="23"/>
  <c r="W166"/>
  <c r="AJ84"/>
  <c r="AJ52"/>
  <c r="AD54"/>
  <c r="AJ122"/>
  <c r="AH146" i="24"/>
  <c r="AI135"/>
  <c r="AL27" i="23"/>
  <c r="S35"/>
  <c r="S36" s="1"/>
  <c r="S27" i="10"/>
  <c r="Y36" i="23"/>
  <c r="Y3" i="28" s="1"/>
  <c r="Z35" i="23"/>
  <c r="AH152" i="24"/>
  <c r="AI152"/>
  <c r="AI146"/>
  <c r="T27" i="10"/>
  <c r="AA27"/>
  <c r="AM27"/>
  <c r="AN27"/>
  <c r="AL27"/>
  <c r="AA35" i="23"/>
  <c r="AC35" s="1"/>
  <c r="AH27"/>
  <c r="AB27"/>
  <c r="AK27"/>
  <c r="AC27"/>
  <c r="AD27"/>
  <c r="AM35"/>
  <c r="T35"/>
  <c r="Z36"/>
  <c r="Y36" i="10"/>
  <c r="Z36" s="1"/>
  <c r="Y37" i="23"/>
  <c r="AH35"/>
  <c r="AI27"/>
  <c r="AB27" i="10"/>
  <c r="AK27"/>
  <c r="AH27"/>
  <c r="AC27"/>
  <c r="AD27"/>
  <c r="AJ27" i="23"/>
  <c r="Y131"/>
  <c r="Y131" i="10" s="1"/>
  <c r="Z37" i="23"/>
  <c r="Y37" i="10"/>
  <c r="Z37" s="1"/>
  <c r="AI27"/>
  <c r="AH35"/>
  <c r="AI35" i="23"/>
  <c r="AH36"/>
  <c r="AJ27" i="10"/>
  <c r="AH36"/>
  <c r="AI35"/>
  <c r="AH37" i="23"/>
  <c r="AI36"/>
  <c r="AH37" i="10"/>
  <c r="AI36"/>
  <c r="AH131" i="23"/>
  <c r="AI37"/>
  <c r="AH135"/>
  <c r="AI131"/>
  <c r="AH131" i="10"/>
  <c r="AI37"/>
  <c r="AI135" i="23"/>
  <c r="AH146"/>
  <c r="AI131" i="10"/>
  <c r="AH135"/>
  <c r="AI135"/>
  <c r="AH146"/>
  <c r="AH152" i="23"/>
  <c r="AI152"/>
  <c r="AI146"/>
  <c r="AH152" i="10"/>
  <c r="AI152"/>
  <c r="AI146"/>
  <c r="Z148" i="24" l="1"/>
  <c r="Y13" i="28"/>
  <c r="Y14" s="1"/>
  <c r="Y152" i="24"/>
  <c r="Z152" s="1"/>
  <c r="AA59" i="10"/>
  <c r="AK59" s="1"/>
  <c r="AC59"/>
  <c r="AD59" s="1"/>
  <c r="C76"/>
  <c r="W22" i="28"/>
  <c r="U166" i="24"/>
  <c r="U22" i="28"/>
  <c r="S15"/>
  <c r="S22" s="1"/>
  <c r="AS144" i="24"/>
  <c r="Q22" i="28"/>
  <c r="Q15"/>
  <c r="Q148" i="24"/>
  <c r="O13" i="28"/>
  <c r="O14" s="1"/>
  <c r="O152" i="24"/>
  <c r="O159"/>
  <c r="P148"/>
  <c r="O22" i="28"/>
  <c r="M166" i="24"/>
  <c r="M22" i="28"/>
  <c r="K13"/>
  <c r="K14" s="1"/>
  <c r="K159" i="24"/>
  <c r="L148"/>
  <c r="K152"/>
  <c r="AM144"/>
  <c r="AN144" s="1"/>
  <c r="K166"/>
  <c r="K22" i="28"/>
  <c r="I145" i="10"/>
  <c r="J145" s="1"/>
  <c r="I166" i="24"/>
  <c r="G22" i="28"/>
  <c r="E13"/>
  <c r="F148" i="24"/>
  <c r="E152"/>
  <c r="E15" i="28"/>
  <c r="AC144" i="24"/>
  <c r="E22" i="28"/>
  <c r="AC145" i="24"/>
  <c r="AD145" s="1"/>
  <c r="D148"/>
  <c r="C152"/>
  <c r="C22" i="28"/>
  <c r="AA15"/>
  <c r="AJ142" i="24"/>
  <c r="C166"/>
  <c r="AL144"/>
  <c r="AK144" s="1"/>
  <c r="W144" i="10"/>
  <c r="L148" i="23"/>
  <c r="K4" i="28"/>
  <c r="K20" s="1"/>
  <c r="K148" i="10"/>
  <c r="L148" s="1"/>
  <c r="I22" i="28"/>
  <c r="AA6"/>
  <c r="AJ142" i="10"/>
  <c r="AD142"/>
  <c r="AC164"/>
  <c r="G145"/>
  <c r="H145" s="1"/>
  <c r="AM145" i="24"/>
  <c r="AN145" s="1"/>
  <c r="H145"/>
  <c r="D145"/>
  <c r="C145" i="10"/>
  <c r="D145" s="1"/>
  <c r="AL145" i="24"/>
  <c r="AK145" s="1"/>
  <c r="E14" i="28"/>
  <c r="J129" i="24"/>
  <c r="I131"/>
  <c r="AJ129"/>
  <c r="AM129"/>
  <c r="AN129" s="1"/>
  <c r="Z145" i="23"/>
  <c r="Y145" i="10"/>
  <c r="Z145" s="1"/>
  <c r="AL129" i="23"/>
  <c r="Z129"/>
  <c r="Y129" i="10"/>
  <c r="Z129" s="1"/>
  <c r="AM145" i="23"/>
  <c r="X145"/>
  <c r="W145" i="10"/>
  <c r="X145" s="1"/>
  <c r="U145"/>
  <c r="V145" s="1"/>
  <c r="T129" i="23"/>
  <c r="T145"/>
  <c r="R145"/>
  <c r="K152"/>
  <c r="K160" s="1"/>
  <c r="K169" s="1"/>
  <c r="L146"/>
  <c r="K146" i="10"/>
  <c r="L146" s="1"/>
  <c r="AM129"/>
  <c r="AN129" s="1"/>
  <c r="H129"/>
  <c r="F145" i="23"/>
  <c r="AA117" i="10"/>
  <c r="AB117" s="1"/>
  <c r="AK117" i="23"/>
  <c r="AK129"/>
  <c r="AL117" i="10"/>
  <c r="AA145" i="23"/>
  <c r="AB145" s="1"/>
  <c r="AC129"/>
  <c r="AD129" s="1"/>
  <c r="AC117"/>
  <c r="D129" i="10"/>
  <c r="AL129"/>
  <c r="E135" i="23"/>
  <c r="E135" i="10" s="1"/>
  <c r="F135" s="1"/>
  <c r="C131" i="23"/>
  <c r="AL145"/>
  <c r="T145" i="10"/>
  <c r="AK42"/>
  <c r="AM76"/>
  <c r="AN76" s="1"/>
  <c r="H76"/>
  <c r="E146" i="23"/>
  <c r="E148" s="1"/>
  <c r="D76" i="10"/>
  <c r="AL76"/>
  <c r="AA76"/>
  <c r="AD76" i="23"/>
  <c r="H36" i="24"/>
  <c r="AL36"/>
  <c r="AK36" s="1"/>
  <c r="G36" i="10"/>
  <c r="H36" s="1"/>
  <c r="AM36" i="24"/>
  <c r="AN36" s="1"/>
  <c r="G12" i="28"/>
  <c r="G37" i="24"/>
  <c r="U131"/>
  <c r="V37"/>
  <c r="W12" i="28"/>
  <c r="W37" i="24"/>
  <c r="X36"/>
  <c r="U12" i="28"/>
  <c r="M146" i="24"/>
  <c r="M148" s="1"/>
  <c r="AA37"/>
  <c r="AC37" s="1"/>
  <c r="S36"/>
  <c r="G19" i="28"/>
  <c r="Y19"/>
  <c r="V36" i="24"/>
  <c r="E19" i="28"/>
  <c r="Y135" i="23"/>
  <c r="Y146" s="1"/>
  <c r="Z131"/>
  <c r="X36"/>
  <c r="W3" i="28"/>
  <c r="W37" i="23"/>
  <c r="W36" i="10"/>
  <c r="X36" s="1"/>
  <c r="V35" i="23"/>
  <c r="U36"/>
  <c r="S3" i="28"/>
  <c r="T36" i="23"/>
  <c r="S36" i="10"/>
  <c r="T36" s="1"/>
  <c r="S37" i="23"/>
  <c r="S35" i="10"/>
  <c r="T35" s="1"/>
  <c r="AL35" i="23"/>
  <c r="AK35" s="1"/>
  <c r="Q19" i="28"/>
  <c r="Q36" i="10"/>
  <c r="R36" s="1"/>
  <c r="Q35"/>
  <c r="AQ35" i="23"/>
  <c r="R36"/>
  <c r="AQ36"/>
  <c r="Q37"/>
  <c r="P135"/>
  <c r="O135" i="10"/>
  <c r="P135" s="1"/>
  <c r="O146" i="23"/>
  <c r="O148" s="1"/>
  <c r="M37" i="10"/>
  <c r="N37" s="1"/>
  <c r="I37" i="23"/>
  <c r="I158"/>
  <c r="I36" i="10"/>
  <c r="I3" i="28"/>
  <c r="J36" i="23"/>
  <c r="G135"/>
  <c r="H135" s="1"/>
  <c r="F135"/>
  <c r="F131"/>
  <c r="AA25" i="10"/>
  <c r="AC25" s="1"/>
  <c r="AD25" s="1"/>
  <c r="AB35" i="23"/>
  <c r="AD35"/>
  <c r="AJ35"/>
  <c r="AA36"/>
  <c r="AD25"/>
  <c r="D36"/>
  <c r="AA131" i="24"/>
  <c r="AC131" s="1"/>
  <c r="AB36"/>
  <c r="AJ36"/>
  <c r="M131" i="10"/>
  <c r="N131" s="1"/>
  <c r="M135" i="23"/>
  <c r="N131"/>
  <c r="M19" i="28"/>
  <c r="AM17" i="10"/>
  <c r="AN17" s="1"/>
  <c r="AA17"/>
  <c r="AK21" i="23"/>
  <c r="AC21"/>
  <c r="C14" i="28"/>
  <c r="C19"/>
  <c r="AD37" i="24"/>
  <c r="AJ37"/>
  <c r="Z131" i="10"/>
  <c r="Y160" i="24"/>
  <c r="Y169" s="1"/>
  <c r="AB59" i="10" l="1"/>
  <c r="AJ59"/>
  <c r="AS148" i="24"/>
  <c r="Q159"/>
  <c r="R148"/>
  <c r="Q152"/>
  <c r="AJ145"/>
  <c r="Q13" i="28"/>
  <c r="Q14" s="1"/>
  <c r="P152" i="24"/>
  <c r="O160"/>
  <c r="O169" s="1"/>
  <c r="O173"/>
  <c r="M13" i="28"/>
  <c r="M14" s="1"/>
  <c r="N148" i="24"/>
  <c r="M159"/>
  <c r="AA22" i="28"/>
  <c r="L152" i="24"/>
  <c r="K160"/>
  <c r="K169" s="1"/>
  <c r="F152"/>
  <c r="E160"/>
  <c r="E169" s="1"/>
  <c r="E153"/>
  <c r="AD144"/>
  <c r="AC166"/>
  <c r="AJ144"/>
  <c r="C160"/>
  <c r="C169" s="1"/>
  <c r="C172" s="1"/>
  <c r="C154"/>
  <c r="D152"/>
  <c r="Y146" i="10"/>
  <c r="Z146" s="1"/>
  <c r="Y148" i="23"/>
  <c r="Y152" s="1"/>
  <c r="W166" i="10"/>
  <c r="AL144"/>
  <c r="X144"/>
  <c r="AA144"/>
  <c r="AM144"/>
  <c r="AN144" s="1"/>
  <c r="O148"/>
  <c r="P148" s="1"/>
  <c r="O4" i="28"/>
  <c r="O159" i="23"/>
  <c r="P148"/>
  <c r="L152"/>
  <c r="K152" i="10"/>
  <c r="L152" s="1"/>
  <c r="K5" i="28"/>
  <c r="K21" s="1"/>
  <c r="E4"/>
  <c r="F148" i="23"/>
  <c r="E148" i="10"/>
  <c r="F148" s="1"/>
  <c r="J131" i="24"/>
  <c r="I135"/>
  <c r="AA129" i="10"/>
  <c r="AC129" s="1"/>
  <c r="AD129" s="1"/>
  <c r="AA145"/>
  <c r="AC145" s="1"/>
  <c r="AD145" s="1"/>
  <c r="AM145"/>
  <c r="AN145" s="1"/>
  <c r="AL145"/>
  <c r="AK117"/>
  <c r="AC117"/>
  <c r="AJ117" i="23"/>
  <c r="AD117"/>
  <c r="AC145"/>
  <c r="AD145" s="1"/>
  <c r="AK145"/>
  <c r="AJ129"/>
  <c r="AK129" i="10"/>
  <c r="AB129"/>
  <c r="D131" i="23"/>
  <c r="C135"/>
  <c r="C131" i="10"/>
  <c r="D131" s="1"/>
  <c r="Z135" i="23"/>
  <c r="Y135" i="10"/>
  <c r="Z135" s="1"/>
  <c r="Z146" i="23"/>
  <c r="F146"/>
  <c r="E152"/>
  <c r="E146" i="10"/>
  <c r="F146" s="1"/>
  <c r="AC76"/>
  <c r="AD76" s="1"/>
  <c r="AB76"/>
  <c r="AK76"/>
  <c r="X37" i="24"/>
  <c r="W131"/>
  <c r="G131"/>
  <c r="G37" i="10"/>
  <c r="H37" s="1"/>
  <c r="H37" i="24"/>
  <c r="N146"/>
  <c r="M152"/>
  <c r="V131"/>
  <c r="U135"/>
  <c r="T36"/>
  <c r="S12" i="28"/>
  <c r="S37" i="24"/>
  <c r="AB37"/>
  <c r="W19" i="28"/>
  <c r="W37" i="10"/>
  <c r="X37" s="1"/>
  <c r="X37" i="23"/>
  <c r="W131"/>
  <c r="U3" i="28"/>
  <c r="U37" i="23"/>
  <c r="V36"/>
  <c r="U36" i="10"/>
  <c r="V36" s="1"/>
  <c r="AM36" i="23"/>
  <c r="AK36"/>
  <c r="AL36"/>
  <c r="T37"/>
  <c r="S131"/>
  <c r="S19" i="28"/>
  <c r="AQ37" i="23"/>
  <c r="Q37" i="10"/>
  <c r="R37" s="1"/>
  <c r="R37" i="23"/>
  <c r="Q131"/>
  <c r="AM35" i="10"/>
  <c r="AN35" s="1"/>
  <c r="R35"/>
  <c r="AL35"/>
  <c r="O152" i="23"/>
  <c r="O146" i="10"/>
  <c r="P146" s="1"/>
  <c r="P146" i="23"/>
  <c r="J36" i="10"/>
  <c r="AM36"/>
  <c r="AN36" s="1"/>
  <c r="I19" i="28"/>
  <c r="J37" i="23"/>
  <c r="I131"/>
  <c r="I37" i="10"/>
  <c r="G146" i="23"/>
  <c r="G148" s="1"/>
  <c r="AK25" i="10"/>
  <c r="AA35"/>
  <c r="AB35" s="1"/>
  <c r="AB25"/>
  <c r="AA37" i="23"/>
  <c r="AB36"/>
  <c r="AC36"/>
  <c r="AD36" s="1"/>
  <c r="AJ25" i="10"/>
  <c r="AA135" i="24"/>
  <c r="AB131"/>
  <c r="M146" i="23"/>
  <c r="M148" s="1"/>
  <c r="N135"/>
  <c r="M135" i="10"/>
  <c r="N135" s="1"/>
  <c r="AK17"/>
  <c r="AA21"/>
  <c r="AB17"/>
  <c r="AC17"/>
  <c r="AD17" s="1"/>
  <c r="Y148"/>
  <c r="AJ21" i="23"/>
  <c r="AD21"/>
  <c r="AD131" i="24"/>
  <c r="AJ131"/>
  <c r="Q160" l="1"/>
  <c r="Q169" s="1"/>
  <c r="AS152"/>
  <c r="R152"/>
  <c r="E172"/>
  <c r="E154"/>
  <c r="E156" s="1"/>
  <c r="C156"/>
  <c r="Z152" i="23"/>
  <c r="Y152" i="10"/>
  <c r="Y160" s="1"/>
  <c r="Y169" s="1"/>
  <c r="Y160" i="23"/>
  <c r="Y169" s="1"/>
  <c r="Z148"/>
  <c r="Y4" i="28"/>
  <c r="AK144" i="10"/>
  <c r="AA166"/>
  <c r="AC144"/>
  <c r="AB144"/>
  <c r="O5" i="28"/>
  <c r="O21" s="1"/>
  <c r="O20"/>
  <c r="M4"/>
  <c r="N148" i="23"/>
  <c r="M159"/>
  <c r="M148" i="10"/>
  <c r="N148" s="1"/>
  <c r="K160"/>
  <c r="K169" s="1"/>
  <c r="H148" i="23"/>
  <c r="G4" i="28"/>
  <c r="E5"/>
  <c r="E21" s="1"/>
  <c r="E20"/>
  <c r="AJ145" i="10"/>
  <c r="AB145"/>
  <c r="AK145"/>
  <c r="J135" i="24"/>
  <c r="I146"/>
  <c r="I148" s="1"/>
  <c r="AJ145" i="23"/>
  <c r="AJ129" i="10"/>
  <c r="AJ117"/>
  <c r="AD117"/>
  <c r="C135"/>
  <c r="D135" s="1"/>
  <c r="D135" i="23"/>
  <c r="C146"/>
  <c r="C148" s="1"/>
  <c r="E152" i="10"/>
  <c r="F152" i="23"/>
  <c r="E160"/>
  <c r="E169" s="1"/>
  <c r="AJ76" i="10"/>
  <c r="S131" i="24"/>
  <c r="AL131" s="1"/>
  <c r="AK131" s="1"/>
  <c r="T37"/>
  <c r="W135"/>
  <c r="X131"/>
  <c r="AA12" i="28"/>
  <c r="M173" i="24"/>
  <c r="N152"/>
  <c r="M160"/>
  <c r="M169" s="1"/>
  <c r="AL37"/>
  <c r="AK37" s="1"/>
  <c r="U146"/>
  <c r="U148" s="1"/>
  <c r="V135"/>
  <c r="H131"/>
  <c r="G135"/>
  <c r="AM131"/>
  <c r="AN131" s="1"/>
  <c r="G131" i="10"/>
  <c r="H131" s="1"/>
  <c r="S37"/>
  <c r="T37" s="1"/>
  <c r="AM37" i="24"/>
  <c r="AN37" s="1"/>
  <c r="X131" i="23"/>
  <c r="W131" i="10"/>
  <c r="X131" s="1"/>
  <c r="W135" i="23"/>
  <c r="U37" i="10"/>
  <c r="V37" s="1"/>
  <c r="U131" i="23"/>
  <c r="V37"/>
  <c r="AA3" i="28"/>
  <c r="U19"/>
  <c r="AL37" i="23"/>
  <c r="AK37" s="1"/>
  <c r="AL36" i="10"/>
  <c r="AM37" i="23"/>
  <c r="S135"/>
  <c r="S131" i="10"/>
  <c r="T131" s="1"/>
  <c r="T131" i="23"/>
  <c r="Q135"/>
  <c r="Q131" i="10"/>
  <c r="R131" s="1"/>
  <c r="AQ131" i="23"/>
  <c r="R131"/>
  <c r="P152"/>
  <c r="O173"/>
  <c r="O160"/>
  <c r="O169" s="1"/>
  <c r="O152" i="10"/>
  <c r="J131" i="23"/>
  <c r="I131" i="10"/>
  <c r="I135" i="23"/>
  <c r="J37" i="10"/>
  <c r="AM37"/>
  <c r="AN37" s="1"/>
  <c r="AC35"/>
  <c r="AD35" s="1"/>
  <c r="AK35"/>
  <c r="H146" i="23"/>
  <c r="G152"/>
  <c r="AJ36"/>
  <c r="AB37"/>
  <c r="AC37"/>
  <c r="AA131"/>
  <c r="AA146" i="24"/>
  <c r="AB135"/>
  <c r="AC135"/>
  <c r="AD135" s="1"/>
  <c r="M152" i="23"/>
  <c r="M146" i="10"/>
  <c r="N146" i="23"/>
  <c r="AJ17" i="10"/>
  <c r="AC21"/>
  <c r="AD21" s="1"/>
  <c r="AA36"/>
  <c r="AB21"/>
  <c r="AK21"/>
  <c r="AJ21"/>
  <c r="Y20" i="28"/>
  <c r="Y5"/>
  <c r="Z148" i="10"/>
  <c r="Z152"/>
  <c r="J148" i="24" l="1"/>
  <c r="I13" i="28"/>
  <c r="I14" s="1"/>
  <c r="AC166" i="10"/>
  <c r="AD144"/>
  <c r="AJ144"/>
  <c r="M20" i="28"/>
  <c r="M5"/>
  <c r="M21" s="1"/>
  <c r="G5"/>
  <c r="C148" i="10"/>
  <c r="D148" s="1"/>
  <c r="D148" i="23"/>
  <c r="C4" i="28"/>
  <c r="I152" i="24"/>
  <c r="J146"/>
  <c r="D146" i="23"/>
  <c r="C152"/>
  <c r="C146" i="10"/>
  <c r="D146" s="1"/>
  <c r="E160"/>
  <c r="E169" s="1"/>
  <c r="F152"/>
  <c r="E153"/>
  <c r="X135" i="24"/>
  <c r="W146"/>
  <c r="H135"/>
  <c r="G146"/>
  <c r="G148" s="1"/>
  <c r="G135" i="10"/>
  <c r="H135" s="1"/>
  <c r="V146" i="24"/>
  <c r="U152"/>
  <c r="T131"/>
  <c r="S135"/>
  <c r="AA19" i="28"/>
  <c r="AL37" i="10"/>
  <c r="W146" i="23"/>
  <c r="W148" s="1"/>
  <c r="W135" i="10"/>
  <c r="X135" s="1"/>
  <c r="X135" i="23"/>
  <c r="U135"/>
  <c r="AM135" s="1"/>
  <c r="V131"/>
  <c r="U131" i="10"/>
  <c r="V131" s="1"/>
  <c r="AM131" i="23"/>
  <c r="AL131"/>
  <c r="AK131" s="1"/>
  <c r="S146"/>
  <c r="S148" s="1"/>
  <c r="T135"/>
  <c r="AJ35" i="10"/>
  <c r="Q135"/>
  <c r="R135" s="1"/>
  <c r="AQ135" i="23"/>
  <c r="Q146"/>
  <c r="Q148" s="1"/>
  <c r="R135"/>
  <c r="O160" i="10"/>
  <c r="O169" s="1"/>
  <c r="P152"/>
  <c r="J131"/>
  <c r="I135"/>
  <c r="I146" i="23"/>
  <c r="I148" s="1"/>
  <c r="J135"/>
  <c r="AL135"/>
  <c r="H152"/>
  <c r="G160"/>
  <c r="G169" s="1"/>
  <c r="AD37"/>
  <c r="AJ37"/>
  <c r="AB131"/>
  <c r="AC131"/>
  <c r="AD131" s="1"/>
  <c r="AA135"/>
  <c r="AC146" i="24"/>
  <c r="AD146" s="1"/>
  <c r="AB146"/>
  <c r="AJ135"/>
  <c r="N146" i="10"/>
  <c r="M160" i="23"/>
  <c r="M169" s="1"/>
  <c r="M152" i="10"/>
  <c r="N152" i="23"/>
  <c r="M173"/>
  <c r="AC36" i="10"/>
  <c r="AD36" s="1"/>
  <c r="AA37"/>
  <c r="AB36"/>
  <c r="AK36"/>
  <c r="AJ36"/>
  <c r="Y21" i="28"/>
  <c r="H148" i="24" l="1"/>
  <c r="G13" i="28"/>
  <c r="G148" i="10"/>
  <c r="H148" s="1"/>
  <c r="T148" i="23"/>
  <c r="S4" i="28"/>
  <c r="R148" i="23"/>
  <c r="Q148" i="10"/>
  <c r="R148" s="1"/>
  <c r="AQ148" i="23"/>
  <c r="Q4" i="28"/>
  <c r="I159" i="23"/>
  <c r="I4" i="28"/>
  <c r="J148" i="23"/>
  <c r="I148" i="10"/>
  <c r="J148" s="1"/>
  <c r="C20" i="28"/>
  <c r="C5"/>
  <c r="C21" s="1"/>
  <c r="I160" i="24"/>
  <c r="I169" s="1"/>
  <c r="J152"/>
  <c r="AL131" i="10"/>
  <c r="AJ146" i="24"/>
  <c r="C160" i="23"/>
  <c r="C169" s="1"/>
  <c r="C172" s="1"/>
  <c r="E172" s="1"/>
  <c r="G172" s="1"/>
  <c r="D152"/>
  <c r="C154"/>
  <c r="C152" i="10"/>
  <c r="B153" i="23"/>
  <c r="U160" i="24"/>
  <c r="U169" s="1"/>
  <c r="V152"/>
  <c r="H146"/>
  <c r="G152"/>
  <c r="G146" i="10"/>
  <c r="H146" s="1"/>
  <c r="X146" i="24"/>
  <c r="W148"/>
  <c r="S146"/>
  <c r="T135"/>
  <c r="V148"/>
  <c r="U13" i="28"/>
  <c r="AL135" i="24"/>
  <c r="AK135" s="1"/>
  <c r="S135" i="10"/>
  <c r="T135" s="1"/>
  <c r="AM135" i="24"/>
  <c r="AN135" s="1"/>
  <c r="W146" i="10"/>
  <c r="X146" s="1"/>
  <c r="X146" i="23"/>
  <c r="W152"/>
  <c r="U135" i="10"/>
  <c r="V135" s="1"/>
  <c r="V135" i="23"/>
  <c r="U146"/>
  <c r="AA131" i="10"/>
  <c r="AM131"/>
  <c r="AN131" s="1"/>
  <c r="T146" i="23"/>
  <c r="S152"/>
  <c r="Q146" i="10"/>
  <c r="R146" s="1"/>
  <c r="AQ146" i="23"/>
  <c r="R146"/>
  <c r="Q152"/>
  <c r="J146"/>
  <c r="I152"/>
  <c r="I146" i="10"/>
  <c r="J135"/>
  <c r="AB135" i="23"/>
  <c r="AK135"/>
  <c r="AA146"/>
  <c r="AC135"/>
  <c r="AD135" s="1"/>
  <c r="AJ131"/>
  <c r="N152" i="10"/>
  <c r="M160"/>
  <c r="M169" s="1"/>
  <c r="AC37"/>
  <c r="AD37" s="1"/>
  <c r="AB37"/>
  <c r="AK37"/>
  <c r="AM146" i="24" l="1"/>
  <c r="AN146" s="1"/>
  <c r="S148"/>
  <c r="G14" i="28"/>
  <c r="G21" s="1"/>
  <c r="G20"/>
  <c r="AM146" i="23"/>
  <c r="U148"/>
  <c r="S5" i="28"/>
  <c r="Q20"/>
  <c r="Q5"/>
  <c r="Q21" s="1"/>
  <c r="I20"/>
  <c r="I5"/>
  <c r="I21" s="1"/>
  <c r="AK131" i="10"/>
  <c r="E154" i="23"/>
  <c r="C156"/>
  <c r="D152" i="10"/>
  <c r="C160"/>
  <c r="C169" s="1"/>
  <c r="C172" s="1"/>
  <c r="E172" s="1"/>
  <c r="C154"/>
  <c r="AC131"/>
  <c r="AD131" s="1"/>
  <c r="AL135"/>
  <c r="W13" i="28"/>
  <c r="W14" s="1"/>
  <c r="X148" i="24"/>
  <c r="U14" i="28"/>
  <c r="T146" i="24"/>
  <c r="S152"/>
  <c r="S152" i="10" s="1"/>
  <c r="H152" i="24"/>
  <c r="G160"/>
  <c r="G169" s="1"/>
  <c r="G172" s="1"/>
  <c r="I172" s="1"/>
  <c r="K172" s="1"/>
  <c r="M172" s="1"/>
  <c r="O172" s="1"/>
  <c r="Q172" s="1"/>
  <c r="G154"/>
  <c r="G152" i="10"/>
  <c r="AA135"/>
  <c r="S146"/>
  <c r="T146" s="1"/>
  <c r="W152" i="24"/>
  <c r="AM135" i="10"/>
  <c r="AN135" s="1"/>
  <c r="AL146" i="24"/>
  <c r="AK146" s="1"/>
  <c r="AB131" i="10"/>
  <c r="W160" i="23"/>
  <c r="W169" s="1"/>
  <c r="X152"/>
  <c r="W4" i="28"/>
  <c r="X148" i="23"/>
  <c r="W148" i="10"/>
  <c r="X148" s="1"/>
  <c r="V146" i="23"/>
  <c r="U146" i="10"/>
  <c r="V146" s="1"/>
  <c r="AL146" i="23"/>
  <c r="AK146" s="1"/>
  <c r="S160"/>
  <c r="S169" s="1"/>
  <c r="T152"/>
  <c r="Q160"/>
  <c r="Q169" s="1"/>
  <c r="Q152" i="10"/>
  <c r="R152" i="23"/>
  <c r="AQ152"/>
  <c r="I160"/>
  <c r="I169" s="1"/>
  <c r="I172" s="1"/>
  <c r="K172" s="1"/>
  <c r="M172" s="1"/>
  <c r="O172" s="1"/>
  <c r="I152" i="10"/>
  <c r="J152" i="23"/>
  <c r="I173"/>
  <c r="J146" i="10"/>
  <c r="AJ37"/>
  <c r="AJ135" i="23"/>
  <c r="AC146"/>
  <c r="AD146" s="1"/>
  <c r="AB146"/>
  <c r="T148" i="24" l="1"/>
  <c r="S13" i="28"/>
  <c r="S148" i="10"/>
  <c r="T148" s="1"/>
  <c r="AL148" i="24"/>
  <c r="AA148"/>
  <c r="AA152" s="1"/>
  <c r="AJ131" i="10"/>
  <c r="E154"/>
  <c r="E156" s="1"/>
  <c r="C156"/>
  <c r="E156" i="23"/>
  <c r="G154"/>
  <c r="AL146" i="10"/>
  <c r="AK135"/>
  <c r="Q172" i="23"/>
  <c r="S172" s="1"/>
  <c r="AC135" i="10"/>
  <c r="AD135" s="1"/>
  <c r="AB135"/>
  <c r="S160" i="24"/>
  <c r="S169" s="1"/>
  <c r="S172" s="1"/>
  <c r="U172" s="1"/>
  <c r="T152"/>
  <c r="AA146" i="10"/>
  <c r="Y175" s="1"/>
  <c r="Y177" s="1"/>
  <c r="Y179" s="1"/>
  <c r="Y180" s="1"/>
  <c r="W160" i="24"/>
  <c r="W169" s="1"/>
  <c r="X152"/>
  <c r="G156"/>
  <c r="I154"/>
  <c r="G160" i="10"/>
  <c r="G169" s="1"/>
  <c r="G172" s="1"/>
  <c r="H152"/>
  <c r="AB148" i="24"/>
  <c r="AC148"/>
  <c r="AD148" s="1"/>
  <c r="AL152"/>
  <c r="W152" i="10"/>
  <c r="W160" s="1"/>
  <c r="W169" s="1"/>
  <c r="W20" i="28"/>
  <c r="W5"/>
  <c r="W21" s="1"/>
  <c r="AL148" i="23"/>
  <c r="U4" i="28"/>
  <c r="V148" i="23"/>
  <c r="AA148"/>
  <c r="U148" i="10"/>
  <c r="AM146"/>
  <c r="AN146" s="1"/>
  <c r="U152" i="23"/>
  <c r="S160" i="10"/>
  <c r="S169" s="1"/>
  <c r="T152"/>
  <c r="R152"/>
  <c r="Q160"/>
  <c r="Q169" s="1"/>
  <c r="AJ146" i="23"/>
  <c r="I160" i="10"/>
  <c r="I169" s="1"/>
  <c r="I159"/>
  <c r="J152"/>
  <c r="AK148" i="24" l="1"/>
  <c r="S14" i="28"/>
  <c r="S20"/>
  <c r="AA13"/>
  <c r="G154" i="10"/>
  <c r="G156" s="1"/>
  <c r="W172" i="24"/>
  <c r="Y172" s="1"/>
  <c r="X152" i="10"/>
  <c r="I154" i="23"/>
  <c r="G156"/>
  <c r="AJ135" i="10"/>
  <c r="AB146"/>
  <c r="AK146"/>
  <c r="AC146"/>
  <c r="AD146" s="1"/>
  <c r="I172"/>
  <c r="K172" s="1"/>
  <c r="M172" s="1"/>
  <c r="O172" s="1"/>
  <c r="Q172" s="1"/>
  <c r="S172" s="1"/>
  <c r="AJ148" i="24"/>
  <c r="AA154"/>
  <c r="AA155" s="1"/>
  <c r="AA156" s="1"/>
  <c r="AC152"/>
  <c r="AB152"/>
  <c r="AK152"/>
  <c r="AA160"/>
  <c r="AA169" s="1"/>
  <c r="AC169" s="1"/>
  <c r="AA153"/>
  <c r="K154"/>
  <c r="I156"/>
  <c r="AK148" i="23"/>
  <c r="AC148"/>
  <c r="AD148" s="1"/>
  <c r="AB148"/>
  <c r="AA152"/>
  <c r="V148" i="10"/>
  <c r="AA148"/>
  <c r="AL148"/>
  <c r="AA4" i="28"/>
  <c r="U20"/>
  <c r="U5"/>
  <c r="V152" i="23"/>
  <c r="U160"/>
  <c r="U169" s="1"/>
  <c r="U172" s="1"/>
  <c r="W172" s="1"/>
  <c r="Y172" s="1"/>
  <c r="U152" i="10"/>
  <c r="AL152" i="23"/>
  <c r="Y181" i="10"/>
  <c r="Y182"/>
  <c r="W188"/>
  <c r="AA20" i="28" l="1"/>
  <c r="AA14"/>
  <c r="S21"/>
  <c r="I154" i="10"/>
  <c r="K154" i="23"/>
  <c r="I156"/>
  <c r="AJ146" i="10"/>
  <c r="M154" i="24"/>
  <c r="K156"/>
  <c r="AC160"/>
  <c r="AD152"/>
  <c r="AJ152"/>
  <c r="V152" i="10"/>
  <c r="U160"/>
  <c r="U169" s="1"/>
  <c r="U172" s="1"/>
  <c r="W172" s="1"/>
  <c r="Y172" s="1"/>
  <c r="AA152"/>
  <c r="AL152"/>
  <c r="U21" i="28"/>
  <c r="AA5"/>
  <c r="AA21" s="1"/>
  <c r="AB148" i="10"/>
  <c r="AC148"/>
  <c r="AD148" s="1"/>
  <c r="AK148"/>
  <c r="AJ148" i="23"/>
  <c r="AA153"/>
  <c r="AA160"/>
  <c r="AA169" s="1"/>
  <c r="AC169" s="1"/>
  <c r="AK152"/>
  <c r="AB152"/>
  <c r="AC152"/>
  <c r="AA154"/>
  <c r="AA155" s="1"/>
  <c r="AA156" s="1"/>
  <c r="I156" i="10" l="1"/>
  <c r="K154"/>
  <c r="M154" i="23"/>
  <c r="K156"/>
  <c r="O154" i="24"/>
  <c r="M156"/>
  <c r="AC152" i="10"/>
  <c r="AK152"/>
  <c r="AA153"/>
  <c r="AA160"/>
  <c r="AA169" s="1"/>
  <c r="AC169" s="1"/>
  <c r="AB152"/>
  <c r="AA154"/>
  <c r="AA155" s="1"/>
  <c r="AA156" s="1"/>
  <c r="AD152" i="23"/>
  <c r="AC160"/>
  <c r="AJ152"/>
  <c r="AJ148" i="10"/>
  <c r="M154" l="1"/>
  <c r="K156"/>
  <c r="O154" i="23"/>
  <c r="M156"/>
  <c r="Q154" i="24"/>
  <c r="O156"/>
  <c r="AJ152" i="10"/>
  <c r="AC160"/>
  <c r="AD152"/>
  <c r="O154" l="1"/>
  <c r="M156"/>
  <c r="O156" i="23"/>
  <c r="Q154"/>
  <c r="Q156" i="24"/>
  <c r="S154"/>
  <c r="Q154" i="10" l="1"/>
  <c r="O156"/>
  <c r="S154" i="23"/>
  <c r="Q156"/>
  <c r="S156" i="24"/>
  <c r="U154"/>
  <c r="S154" i="10" l="1"/>
  <c r="Q156"/>
  <c r="S156" i="23"/>
  <c r="U154"/>
  <c r="U156" i="24"/>
  <c r="W154"/>
  <c r="U154" i="10" l="1"/>
  <c r="S156"/>
  <c r="W154" i="23"/>
  <c r="U156"/>
  <c r="Y154" i="24"/>
  <c r="W156"/>
  <c r="U156" i="10" l="1"/>
  <c r="W154"/>
  <c r="Y154" i="23"/>
  <c r="W156"/>
  <c r="Y156" i="24"/>
  <c r="AM154"/>
  <c r="AN154" s="1"/>
  <c r="Y154" i="10" l="1"/>
  <c r="Y156" s="1"/>
  <c r="W156"/>
  <c r="Y156" i="23"/>
  <c r="AM154"/>
  <c r="AM154" i="10" l="1"/>
  <c r="AN154" s="1"/>
</calcChain>
</file>

<file path=xl/comments1.xml><?xml version="1.0" encoding="utf-8"?>
<comments xmlns="http://schemas.openxmlformats.org/spreadsheetml/2006/main">
  <authors>
    <author>Rajesh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 xml:space="preserve">Less in leave, indemnity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Leave, Indemnity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Added in leave, indemnity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in leave salary, indemnity
</t>
        </r>
      </text>
    </comment>
  </commentList>
</comments>
</file>

<file path=xl/comments2.xml><?xml version="1.0" encoding="utf-8"?>
<comments xmlns="http://schemas.openxmlformats.org/spreadsheetml/2006/main">
  <authors>
    <author>Nirav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</commentList>
</comments>
</file>

<file path=xl/sharedStrings.xml><?xml version="1.0" encoding="utf-8"?>
<sst xmlns="http://schemas.openxmlformats.org/spreadsheetml/2006/main" count="1064" uniqueCount="290">
  <si>
    <t>Consultation charges</t>
  </si>
  <si>
    <t>Other expenses</t>
  </si>
  <si>
    <t>Rent</t>
  </si>
  <si>
    <t>Electricity</t>
  </si>
  <si>
    <t>Water</t>
  </si>
  <si>
    <t>Telephone</t>
  </si>
  <si>
    <t>Petty cash expenses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</si>
  <si>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</si>
  <si>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</si>
  <si>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</si>
  <si>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</si>
  <si>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</si>
  <si>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</si>
  <si>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</si>
  <si>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</si>
  <si>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</si>
  <si>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</si>
  <si>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</si>
  <si>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</si>
  <si>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</si>
  <si>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</si>
  <si>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</si>
  <si>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</si>
  <si>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</si>
  <si>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</si>
  <si>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</si>
  <si>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</si>
  <si>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</si>
  <si>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</si>
  <si>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</si>
  <si>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</si>
  <si>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</si>
  <si>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</si>
  <si>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</si>
  <si>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</si>
  <si>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</si>
  <si>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</si>
  <si>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</si>
  <si>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</si>
  <si>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</si>
  <si>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</si>
  <si>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</si>
  <si>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</si>
  <si>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</si>
  <si>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</si>
  <si>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</si>
  <si>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</si>
  <si>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</si>
  <si>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</si>
  <si>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</si>
  <si>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</si>
  <si>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</si>
  <si>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</si>
  <si>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</si>
  <si>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</si>
  <si>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</si>
  <si>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</si>
  <si>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</si>
  <si>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</si>
  <si>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</si>
  <si>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</si>
  <si>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</si>
  <si>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</si>
  <si>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</si>
  <si>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</si>
  <si>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</si>
  <si>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</si>
  <si>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</si>
  <si>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</si>
  <si>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</si>
  <si>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</si>
  <si>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</si>
  <si>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</si>
  <si>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</si>
  <si>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</si>
  <si>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</si>
  <si>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</si>
  <si>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</si>
  <si>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</si>
  <si>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</si>
  <si>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</si>
  <si>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</si>
  <si>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</si>
  <si>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</si>
  <si>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</si>
  <si>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</si>
  <si>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</si>
  <si>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</si>
  <si>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</si>
  <si>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</si>
  <si>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</si>
  <si>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Cash collection service charges</t>
  </si>
  <si>
    <t>Interest on loan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</si>
  <si>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</si>
  <si>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</si>
  <si>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</si>
  <si>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</si>
  <si>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</si>
  <si>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</si>
  <si>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Management fees</t>
  </si>
  <si>
    <t>Salaries &amp; Allowances - Total</t>
  </si>
  <si>
    <t>Selling &amp; Distribution - Total</t>
  </si>
  <si>
    <t>Finance Expenses - Total</t>
  </si>
  <si>
    <t>AED</t>
  </si>
  <si>
    <t>Vehicle maintenance</t>
  </si>
  <si>
    <t>Loan management fees</t>
  </si>
  <si>
    <t>Sales return ( 1 %)</t>
  </si>
  <si>
    <t>LC comm</t>
  </si>
  <si>
    <t>OCT</t>
  </si>
  <si>
    <t>NOV</t>
  </si>
  <si>
    <t>DEC</t>
  </si>
  <si>
    <t>Staff Benefits - Medical insurance</t>
  </si>
  <si>
    <t>Sales Promotion - Gift Vouchers</t>
  </si>
  <si>
    <t>EBDIT</t>
  </si>
  <si>
    <t>TOTAL INDIRECT EXPENSES</t>
  </si>
  <si>
    <t>SEPT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</si>
  <si>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</si>
  <si>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</si>
  <si>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</si>
  <si>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</si>
  <si>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</si>
  <si>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NET PROFIT BEFORE TAXATION</t>
  </si>
  <si>
    <t>Head Office Apportionment</t>
  </si>
  <si>
    <t>Interst on Loan</t>
  </si>
  <si>
    <t>JULY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</si>
  <si>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</si>
  <si>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</si>
  <si>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</si>
  <si>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</si>
  <si>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</si>
  <si>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</si>
  <si>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6 month</t>
  </si>
  <si>
    <t>Base</t>
  </si>
  <si>
    <t>2010- AED</t>
  </si>
  <si>
    <t>Avg Upto Oct 2010</t>
  </si>
  <si>
    <t>0.05 % stock adjustment as per standard policy</t>
  </si>
  <si>
    <t>Avg- Dec.2010</t>
  </si>
  <si>
    <t>Avg-Dec.2010</t>
  </si>
  <si>
    <t>Data</t>
  </si>
  <si>
    <t>medical insurance by 20 %</t>
  </si>
  <si>
    <t>marketing expenses for all locations give to hasit.</t>
  </si>
  <si>
    <t>salary for UAE</t>
  </si>
  <si>
    <t>Credit card charges.</t>
  </si>
  <si>
    <t>Rent for dalma mall.</t>
  </si>
  <si>
    <t>Management fees.</t>
  </si>
  <si>
    <t>Dalma Telephone exp + 5%</t>
  </si>
  <si>
    <t>UAE - credit card charges analysis.</t>
  </si>
  <si>
    <t>Interest on loan.</t>
  </si>
  <si>
    <t>6 month before and 6 month end</t>
  </si>
  <si>
    <t>Arabian Centre</t>
  </si>
  <si>
    <t>Credit Card charges</t>
  </si>
  <si>
    <t>Dalma Mall</t>
  </si>
  <si>
    <t>Lamcy Plaza</t>
  </si>
  <si>
    <t>June to Nov.11</t>
  </si>
  <si>
    <t>Jan. to June 11</t>
  </si>
  <si>
    <t>Mushriff Mall</t>
  </si>
  <si>
    <t>Mushriff Mall (Aug. to Nov. 4 months)</t>
  </si>
  <si>
    <t>Credit Card Analysis year on 2011</t>
  </si>
  <si>
    <t>11 month</t>
  </si>
  <si>
    <t>Jan.11 to Nov. 2011</t>
  </si>
  <si>
    <t>0.02 % of the total sales - stock adjustment</t>
  </si>
  <si>
    <t>Report needs to be cross tallied.</t>
  </si>
  <si>
    <t>Change all headings.</t>
  </si>
  <si>
    <t>Provision for taxation.</t>
  </si>
  <si>
    <t>done</t>
  </si>
  <si>
    <t>pending</t>
  </si>
  <si>
    <t>cogs and gross profit.</t>
  </si>
  <si>
    <t>DONE</t>
  </si>
  <si>
    <t>COGS %</t>
  </si>
  <si>
    <t>DEPRECIATION &amp; PROVISOINS</t>
  </si>
  <si>
    <t>As per Dalma Mall</t>
  </si>
  <si>
    <t>As per HK</t>
  </si>
  <si>
    <t>OMR</t>
  </si>
  <si>
    <t>Total</t>
  </si>
  <si>
    <t>Employees Insurance</t>
  </si>
  <si>
    <t>Staff Visa &amp; Medical charges</t>
  </si>
  <si>
    <t>Staff Accomodation</t>
  </si>
  <si>
    <t>Voucher Sales - Promotion</t>
  </si>
  <si>
    <t>MATALAN MIDDLE EAST - BUDGETED CASH PROFIT &amp; LOSS ACCOUNT FOR MARKAZ AL BAHJA FOR 2013</t>
  </si>
  <si>
    <t xml:space="preserve">Depreciation-Trafic counters </t>
  </si>
  <si>
    <t>Withholding tax</t>
  </si>
  <si>
    <t>NET PROFIT AFTER MANGT. FEE/TAXATION</t>
  </si>
  <si>
    <t>Management Fee</t>
  </si>
  <si>
    <t>Net Profit YTD</t>
  </si>
  <si>
    <t>MARKAZ</t>
  </si>
  <si>
    <t>NEW STORE-1</t>
  </si>
  <si>
    <t>NEW STORE-2</t>
  </si>
  <si>
    <t>Withholding tax / Income Tax</t>
  </si>
  <si>
    <t xml:space="preserve"> </t>
  </si>
  <si>
    <t>ADD: MANAGEMENT FEES</t>
  </si>
  <si>
    <t>ADD : HEAD OFFICE APPORTINMENT</t>
  </si>
  <si>
    <t>ADD : DEPRECIATION</t>
  </si>
  <si>
    <t>OPERATING CASH PROFIT:</t>
  </si>
  <si>
    <t>YTD</t>
  </si>
  <si>
    <t>QAR</t>
  </si>
  <si>
    <t>percentage rent</t>
  </si>
  <si>
    <t>0-100</t>
  </si>
  <si>
    <t>101-200</t>
  </si>
  <si>
    <t>201-300</t>
  </si>
  <si>
    <t>Month</t>
  </si>
  <si>
    <t>Markaz Al Bahja</t>
  </si>
  <si>
    <t>PDC for Rent from April 2012 to 31/12/2012</t>
  </si>
  <si>
    <t>Amount</t>
  </si>
  <si>
    <t>Date</t>
  </si>
  <si>
    <t>TOTAL</t>
  </si>
  <si>
    <t>Average</t>
  </si>
  <si>
    <t>As per policy 0.05% on Sales</t>
  </si>
  <si>
    <t>AVERAGE</t>
  </si>
  <si>
    <t>upto Oct13</t>
  </si>
  <si>
    <t>Social Security 10.5%</t>
  </si>
  <si>
    <t>Agreement</t>
  </si>
  <si>
    <t>External Bill Boards</t>
  </si>
  <si>
    <t>Property , BI till 31/5.2014</t>
  </si>
  <si>
    <t>Life Insurance - Aug.13 to July 14</t>
  </si>
  <si>
    <t>MARKAZ AL BAHJA RENT CALCULATION DETAILS</t>
  </si>
  <si>
    <t>PDC paid for 2012 Rent</t>
  </si>
  <si>
    <t>Sales &amp; Rent Calculation for the year 2013</t>
  </si>
  <si>
    <t>Proposal for rent payment for 2013 (Jan.13 to Dec. 13)</t>
  </si>
  <si>
    <t>Less: Credit Note received on Jan. 2013</t>
  </si>
  <si>
    <t>April 2012 to March 2013 Invoice recievedf as per rent calculation</t>
  </si>
  <si>
    <t>Labour Charges</t>
  </si>
  <si>
    <t>Sales &amp; Rent Calculation for the year 2014</t>
  </si>
  <si>
    <t>Outstanding Rent for the year 2013 - prepared 5 cheques.</t>
  </si>
  <si>
    <t>301 - 400</t>
  </si>
  <si>
    <t>paid chq no 07505493 Jan to June 14</t>
  </si>
  <si>
    <t>added 5%</t>
  </si>
  <si>
    <t>Property , BI till 31/5.2015</t>
  </si>
  <si>
    <t>Sq.ft</t>
  </si>
  <si>
    <t>Sq.Mt</t>
  </si>
  <si>
    <t>8 exhibit - 35 to 55/exhibit (M 265 + TL 300) + others</t>
  </si>
  <si>
    <t>Estimated</t>
  </si>
  <si>
    <t>Life Insurance - Aug.14 to July 15 - 332.576</t>
  </si>
  <si>
    <t>1.5 Million</t>
  </si>
  <si>
    <t>4.5 Million</t>
  </si>
  <si>
    <t>8 exhibit - 35 to 55/exhibit (Muncipal 265 + TL 300)</t>
  </si>
  <si>
    <t>Sales report for the year 2015</t>
  </si>
  <si>
    <t>Social Security 11.5%</t>
  </si>
  <si>
    <t>Matalan Store at Markaz Al Bahja, Oman</t>
  </si>
  <si>
    <t>Actual</t>
  </si>
  <si>
    <t>Net Profit</t>
  </si>
  <si>
    <t>Profit Before Tax</t>
  </si>
  <si>
    <t>Less:</t>
  </si>
  <si>
    <t>Exemption for Tax</t>
  </si>
  <si>
    <t>Taxable Profit</t>
  </si>
  <si>
    <t>Tax @ 12%</t>
  </si>
  <si>
    <t>Profit After Tax</t>
  </si>
  <si>
    <t>Tax Amount in QAR</t>
  </si>
  <si>
    <t>Tax paid years</t>
  </si>
  <si>
    <t>Estimated for 2015:</t>
  </si>
  <si>
    <t>Calculation for Income Tax - FY 2015</t>
  </si>
  <si>
    <t>Sonicwall Renewals</t>
  </si>
  <si>
    <t>DynDNS Renewals</t>
  </si>
  <si>
    <t>Printer Cartridge</t>
  </si>
  <si>
    <t>Nedap EAS Renewal</t>
  </si>
  <si>
    <t>Email &amp; Internet VPN-BTC</t>
  </si>
  <si>
    <t>450+ 50 added</t>
  </si>
  <si>
    <t>avg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</si>
  <si>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</si>
  <si>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</si>
  <si>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</si>
  <si>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</si>
  <si>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</si>
  <si>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</si>
  <si>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</si>
  <si>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</si>
  <si>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</si>
  <si>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MATALAN MIDDLE EAST - BUDGETED CASH PROFIT &amp; LOSS ACCOUNT FOR MARKAZ AL BAHJA FOR 2016</t>
  </si>
  <si>
    <t>upto 24/06</t>
  </si>
  <si>
    <t>NET PROFIT AFTER TAXATION.</t>
  </si>
  <si>
    <t>Sales Report for the year 2016</t>
  </si>
  <si>
    <t>Unrealised exchange gain/loss</t>
  </si>
  <si>
    <t>Upt to Sep</t>
  </si>
  <si>
    <t>Estimated to 7750</t>
  </si>
  <si>
    <t>Estimated to 1200</t>
  </si>
  <si>
    <t>Estimated to 250</t>
  </si>
  <si>
    <t>Estimated to 500</t>
  </si>
  <si>
    <t>Agreement 430</t>
  </si>
  <si>
    <t>Added 5%</t>
  </si>
  <si>
    <t>Estimated 350</t>
  </si>
  <si>
    <t>Estimated 90</t>
  </si>
  <si>
    <t>Estimated 200</t>
  </si>
  <si>
    <t>as per Aggrement</t>
  </si>
  <si>
    <t>Estimated 263</t>
  </si>
  <si>
    <t>Estimated 500</t>
  </si>
  <si>
    <t>Estimated 300</t>
  </si>
  <si>
    <t>Added 15% 1500</t>
  </si>
  <si>
    <t>Actual 450</t>
  </si>
  <si>
    <t>Municipality tax + Reg fee</t>
  </si>
  <si>
    <t>MATALAN MIDDLE EAST - BUDGETED CASH PROFIT &amp; LOSS ACCOUNT FOR AVENUE MALL FOR 2017</t>
  </si>
  <si>
    <t>MATALAN MIDDLE EAST - BUDGETED CASH PROFIT &amp; LOSS ACCOUNT FOR MARKAZ AL BAHJA FOR 2017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</si>
</sst>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#,##0.00;[Red]\-#,##0.00"/>
    <numFmt numFmtId="166" formatCode="_(* #,##0.000_);_(* \(#,##0.000\);_(* &quot;-&quot;??_);_(@_)"/>
    <numFmt numFmtId="167" formatCode="_(&quot; &quot;* #,##0.00_);_(&quot; &quot;* \(#,##0.00\);_(&quot; &quot;* &quot;-&quot;??_);_(@_)"/>
    <numFmt numFmtId="168" formatCode="_(* #,##0.0000_);_(* \(#,##0.0000\);_(* &quot;-&quot;??_);_(@_)"/>
    <numFmt numFmtId="169" formatCode="0.0%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rgb="FFFF66FF"/>
      <name val="Calibri"/>
      <family val="2"/>
      <scheme val="minor"/>
    </font>
    <font>
      <sz val="11"/>
      <color rgb="FF4A452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indexed="64"/>
      </bottom>
      <diagonal/>
    </border>
    <border>
      <left/>
      <right/>
      <top style="medium">
        <color theme="3" tint="-0.499984740745262"/>
      </top>
      <bottom style="medium">
        <color indexed="64"/>
      </bottom>
      <diagonal/>
    </border>
    <border>
      <left/>
      <right style="medium">
        <color theme="3" tint="-0.499984740745262"/>
      </right>
      <top style="medium">
        <color theme="3" tint="-0.499984740745262"/>
      </top>
      <bottom style="medium">
        <color indexed="64"/>
      </bottom>
      <diagonal/>
    </border>
    <border>
      <left style="medium">
        <color theme="3" tint="-0.49998474074526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3" tint="-0.499984740745262"/>
      </right>
      <top style="medium">
        <color indexed="64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 style="medium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 style="thin">
        <color theme="3" tint="-0.499984740745262"/>
      </left>
      <right/>
      <top/>
      <bottom style="thin">
        <color indexed="64"/>
      </bottom>
      <diagonal/>
    </border>
    <border>
      <left/>
      <right style="medium">
        <color theme="3" tint="-0.499984740745262"/>
      </right>
      <top/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3" tint="-0.499984740745262"/>
      </left>
      <right/>
      <top style="medium">
        <color indexed="64"/>
      </top>
      <bottom style="medium">
        <color indexed="64"/>
      </bottom>
      <diagonal/>
    </border>
    <border>
      <left style="thin">
        <color theme="3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3" tint="-0.499984740745262"/>
      </right>
      <top style="medium">
        <color indexed="64"/>
      </top>
      <bottom style="medium">
        <color indexed="64"/>
      </bottom>
      <diagonal/>
    </border>
    <border>
      <left style="medium">
        <color theme="3" tint="-0.499984740745262"/>
      </left>
      <right/>
      <top style="medium">
        <color indexed="64"/>
      </top>
      <bottom style="medium">
        <color theme="3" tint="-0.499984740745262"/>
      </bottom>
      <diagonal/>
    </border>
    <border>
      <left/>
      <right/>
      <top style="medium">
        <color indexed="64"/>
      </top>
      <bottom style="medium">
        <color theme="3" tint="-0.499984740745262"/>
      </bottom>
      <diagonal/>
    </border>
    <border>
      <left style="thin">
        <color theme="3" tint="-0.499984740745262"/>
      </left>
      <right/>
      <top style="medium">
        <color indexed="64"/>
      </top>
      <bottom style="medium">
        <color theme="3" tint="-0.499984740745262"/>
      </bottom>
      <diagonal/>
    </border>
    <border>
      <left/>
      <right style="medium">
        <color theme="3" tint="-0.499984740745262"/>
      </right>
      <top style="medium">
        <color indexed="64"/>
      </top>
      <bottom style="medium">
        <color theme="3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685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21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0" fillId="0" borderId="14" xfId="0" applyFill="1" applyBorder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9" fontId="14" fillId="0" borderId="14" xfId="44" applyNumberFormat="1" applyFont="1" applyFill="1" applyBorder="1"/>
    <xf numFmtId="43" fontId="0" fillId="0" borderId="0" xfId="43" applyFont="1" applyFill="1"/>
    <xf numFmtId="43" fontId="14" fillId="0" borderId="0" xfId="43" applyFont="1" applyFill="1"/>
    <xf numFmtId="43" fontId="0" fillId="33" borderId="10" xfId="43" applyFont="1" applyFill="1" applyBorder="1"/>
    <xf numFmtId="43" fontId="0" fillId="33" borderId="12" xfId="43" applyFont="1" applyFill="1" applyBorder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17" fillId="35" borderId="0" xfId="0" applyFont="1" applyFill="1"/>
    <xf numFmtId="43" fontId="0" fillId="33" borderId="21" xfId="43" applyFont="1" applyFill="1" applyBorder="1"/>
    <xf numFmtId="43" fontId="0" fillId="36" borderId="21" xfId="43" applyFont="1" applyFill="1" applyBorder="1"/>
    <xf numFmtId="43" fontId="0" fillId="33" borderId="22" xfId="43" applyFont="1" applyFill="1" applyBorder="1"/>
    <xf numFmtId="43" fontId="0" fillId="0" borderId="19" xfId="43" applyFont="1" applyBorder="1"/>
    <xf numFmtId="0" fontId="0" fillId="0" borderId="11" xfId="0" applyBorder="1"/>
    <xf numFmtId="164" fontId="22" fillId="0" borderId="0" xfId="43" applyNumberFormat="1" applyFont="1" applyFill="1"/>
    <xf numFmtId="164" fontId="0" fillId="0" borderId="0" xfId="43" applyNumberFormat="1" applyFont="1" applyFill="1"/>
    <xf numFmtId="164" fontId="0" fillId="33" borderId="10" xfId="43" applyNumberFormat="1" applyFont="1" applyFill="1" applyBorder="1"/>
    <xf numFmtId="0" fontId="21" fillId="38" borderId="10" xfId="0" applyFont="1" applyFill="1" applyBorder="1"/>
    <xf numFmtId="164" fontId="0" fillId="38" borderId="10" xfId="43" applyNumberFormat="1" applyFont="1" applyFill="1" applyBorder="1"/>
    <xf numFmtId="0" fontId="21" fillId="36" borderId="26" xfId="0" applyFont="1" applyFill="1" applyBorder="1"/>
    <xf numFmtId="164" fontId="0" fillId="36" borderId="26" xfId="43" applyNumberFormat="1" applyFont="1" applyFill="1" applyBorder="1"/>
    <xf numFmtId="9" fontId="0" fillId="36" borderId="27" xfId="44" applyFont="1" applyFill="1" applyBorder="1"/>
    <xf numFmtId="164" fontId="0" fillId="33" borderId="12" xfId="43" applyNumberFormat="1" applyFont="1" applyFill="1" applyBorder="1"/>
    <xf numFmtId="164" fontId="0" fillId="36" borderId="10" xfId="43" applyNumberFormat="1" applyFont="1" applyFill="1" applyBorder="1"/>
    <xf numFmtId="164" fontId="0" fillId="0" borderId="0" xfId="43" applyNumberFormat="1" applyFont="1" applyFill="1" applyBorder="1"/>
    <xf numFmtId="43" fontId="0" fillId="0" borderId="0" xfId="43" applyNumberFormat="1" applyFont="1" applyFill="1"/>
    <xf numFmtId="164" fontId="0" fillId="0" borderId="0" xfId="43" applyNumberFormat="1" applyFont="1"/>
    <xf numFmtId="0" fontId="20" fillId="33" borderId="12" xfId="42" applyFont="1" applyFill="1" applyBorder="1" applyAlignment="1">
      <alignment horizontal="left"/>
    </xf>
    <xf numFmtId="43" fontId="22" fillId="36" borderId="10" xfId="43" applyFont="1" applyFill="1" applyBorder="1"/>
    <xf numFmtId="0" fontId="0" fillId="34" borderId="13" xfId="0" applyFill="1" applyBorder="1"/>
    <xf numFmtId="0" fontId="25" fillId="34" borderId="13" xfId="0" applyFont="1" applyFill="1" applyBorder="1" applyAlignment="1">
      <alignment horizontal="center"/>
    </xf>
    <xf numFmtId="10" fontId="14" fillId="0" borderId="14" xfId="44" applyNumberFormat="1" applyFont="1" applyFill="1" applyBorder="1"/>
    <xf numFmtId="164" fontId="22" fillId="36" borderId="10" xfId="43" applyNumberFormat="1" applyFont="1" applyFill="1" applyBorder="1"/>
    <xf numFmtId="43" fontId="25" fillId="34" borderId="13" xfId="43" applyFont="1" applyFill="1" applyBorder="1" applyAlignment="1">
      <alignment horizontal="center"/>
    </xf>
    <xf numFmtId="43" fontId="25" fillId="34" borderId="13" xfId="0" applyNumberFormat="1" applyFont="1" applyFill="1" applyBorder="1" applyAlignment="1">
      <alignment horizontal="center"/>
    </xf>
    <xf numFmtId="43" fontId="0" fillId="0" borderId="0" xfId="0" applyNumberFormat="1" applyFill="1"/>
    <xf numFmtId="43" fontId="22" fillId="0" borderId="0" xfId="43" applyNumberFormat="1" applyFont="1" applyFill="1"/>
    <xf numFmtId="43" fontId="0" fillId="33" borderId="10" xfId="43" applyNumberFormat="1" applyFont="1" applyFill="1" applyBorder="1"/>
    <xf numFmtId="43" fontId="0" fillId="38" borderId="10" xfId="43" applyNumberFormat="1" applyFont="1" applyFill="1" applyBorder="1"/>
    <xf numFmtId="43" fontId="0" fillId="36" borderId="26" xfId="43" applyNumberFormat="1" applyFont="1" applyFill="1" applyBorder="1"/>
    <xf numFmtId="43" fontId="0" fillId="33" borderId="12" xfId="43" applyNumberFormat="1" applyFont="1" applyFill="1" applyBorder="1"/>
    <xf numFmtId="43" fontId="0" fillId="36" borderId="10" xfId="43" applyNumberFormat="1" applyFont="1" applyFill="1" applyBorder="1"/>
    <xf numFmtId="43" fontId="14" fillId="0" borderId="0" xfId="43" applyNumberFormat="1" applyFont="1" applyFill="1"/>
    <xf numFmtId="43" fontId="0" fillId="0" borderId="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4" fontId="16" fillId="0" borderId="0" xfId="0" applyNumberFormat="1" applyFont="1"/>
    <xf numFmtId="10" fontId="0" fillId="33" borderId="17" xfId="44" applyNumberFormat="1" applyFont="1" applyFill="1" applyBorder="1"/>
    <xf numFmtId="10" fontId="0" fillId="36" borderId="16" xfId="44" applyNumberFormat="1" applyFont="1" applyFill="1" applyBorder="1"/>
    <xf numFmtId="10" fontId="0" fillId="33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38" borderId="16" xfId="44" applyNumberFormat="1" applyFont="1" applyFill="1" applyBorder="1"/>
    <xf numFmtId="10" fontId="0" fillId="0" borderId="14" xfId="44" applyNumberFormat="1" applyFont="1" applyBorder="1"/>
    <xf numFmtId="10" fontId="14" fillId="0" borderId="14" xfId="44" applyNumberFormat="1" applyFont="1" applyBorder="1"/>
    <xf numFmtId="10" fontId="17" fillId="35" borderId="0" xfId="44" applyNumberFormat="1" applyFont="1" applyFill="1"/>
    <xf numFmtId="0" fontId="0" fillId="0" borderId="29" xfId="0" applyBorder="1"/>
    <xf numFmtId="43" fontId="0" fillId="0" borderId="29" xfId="43" applyFont="1" applyBorder="1"/>
    <xf numFmtId="43" fontId="25" fillId="34" borderId="20" xfId="0" applyNumberFormat="1" applyFont="1" applyFill="1" applyBorder="1" applyAlignment="1">
      <alignment horizontal="center"/>
    </xf>
    <xf numFmtId="43" fontId="0" fillId="0" borderId="19" xfId="0" applyNumberFormat="1" applyFill="1" applyBorder="1"/>
    <xf numFmtId="43" fontId="22" fillId="0" borderId="19" xfId="43" applyNumberFormat="1" applyFont="1" applyFill="1" applyBorder="1"/>
    <xf numFmtId="43" fontId="0" fillId="0" borderId="19" xfId="43" applyNumberFormat="1" applyFont="1" applyFill="1" applyBorder="1"/>
    <xf numFmtId="43" fontId="14" fillId="0" borderId="19" xfId="43" applyNumberFormat="1" applyFont="1" applyFill="1" applyBorder="1"/>
    <xf numFmtId="43" fontId="0" fillId="33" borderId="21" xfId="43" applyNumberFormat="1" applyFont="1" applyFill="1" applyBorder="1"/>
    <xf numFmtId="43" fontId="0" fillId="38" borderId="21" xfId="43" applyNumberFormat="1" applyFont="1" applyFill="1" applyBorder="1"/>
    <xf numFmtId="43" fontId="0" fillId="36" borderId="30" xfId="43" applyNumberFormat="1" applyFont="1" applyFill="1" applyBorder="1"/>
    <xf numFmtId="43" fontId="0" fillId="33" borderId="22" xfId="43" applyNumberFormat="1" applyFont="1" applyFill="1" applyBorder="1"/>
    <xf numFmtId="43" fontId="0" fillId="36" borderId="21" xfId="43" applyNumberFormat="1" applyFont="1" applyFill="1" applyBorder="1"/>
    <xf numFmtId="43" fontId="0" fillId="0" borderId="19" xfId="43" applyNumberFormat="1" applyFont="1" applyBorder="1"/>
    <xf numFmtId="9" fontId="0" fillId="40" borderId="16" xfId="44" applyFont="1" applyFill="1" applyBorder="1"/>
    <xf numFmtId="0" fontId="26" fillId="0" borderId="0" xfId="0" applyFont="1"/>
    <xf numFmtId="0" fontId="14" fillId="39" borderId="0" xfId="0" applyFont="1" applyFill="1"/>
    <xf numFmtId="0" fontId="22" fillId="39" borderId="0" xfId="0" applyFont="1" applyFill="1"/>
    <xf numFmtId="164" fontId="22" fillId="39" borderId="0" xfId="43" applyNumberFormat="1" applyFont="1" applyFill="1"/>
    <xf numFmtId="0" fontId="16" fillId="0" borderId="11" xfId="0" applyFont="1" applyBorder="1" applyAlignment="1">
      <alignment horizontal="center"/>
    </xf>
    <xf numFmtId="43" fontId="22" fillId="39" borderId="0" xfId="43" applyFont="1" applyFill="1"/>
    <xf numFmtId="9" fontId="14" fillId="39" borderId="14" xfId="44" applyFont="1" applyFill="1" applyBorder="1"/>
    <xf numFmtId="43" fontId="22" fillId="39" borderId="0" xfId="43" applyNumberFormat="1" applyFont="1" applyFill="1"/>
    <xf numFmtId="0" fontId="19" fillId="0" borderId="0" xfId="0" applyFont="1" applyFill="1" applyAlignment="1">
      <alignment horizontal="left"/>
    </xf>
    <xf numFmtId="0" fontId="19" fillId="0" borderId="0" xfId="42" applyFont="1" applyFill="1" applyAlignment="1">
      <alignment horizontal="left"/>
    </xf>
    <xf numFmtId="0" fontId="16" fillId="0" borderId="0" xfId="0" applyFont="1"/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0" fontId="19" fillId="0" borderId="14" xfId="42" applyFont="1" applyFill="1" applyBorder="1" applyAlignment="1">
      <alignment horizontal="left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0" fontId="20" fillId="0" borderId="14" xfId="42" applyFont="1" applyFill="1" applyBorder="1" applyAlignment="1">
      <alignment horizontal="left"/>
    </xf>
    <xf numFmtId="0" fontId="19" fillId="0" borderId="0" xfId="42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20" fillId="33" borderId="17" xfId="0" applyFont="1" applyFill="1" applyBorder="1" applyAlignment="1">
      <alignment horizontal="center"/>
    </xf>
    <xf numFmtId="0" fontId="20" fillId="36" borderId="16" xfId="0" applyFont="1" applyFill="1" applyBorder="1" applyAlignment="1">
      <alignment horizontal="center"/>
    </xf>
    <xf numFmtId="0" fontId="22" fillId="0" borderId="14" xfId="0" applyFont="1" applyBorder="1"/>
    <xf numFmtId="0" fontId="21" fillId="33" borderId="16" xfId="0" applyFont="1" applyFill="1" applyBorder="1"/>
    <xf numFmtId="0" fontId="21" fillId="38" borderId="16" xfId="0" applyFont="1" applyFill="1" applyBorder="1"/>
    <xf numFmtId="0" fontId="21" fillId="36" borderId="27" xfId="0" applyFont="1" applyFill="1" applyBorder="1"/>
    <xf numFmtId="0" fontId="20" fillId="33" borderId="16" xfId="0" applyFont="1" applyFill="1" applyBorder="1" applyAlignment="1">
      <alignment horizontal="left"/>
    </xf>
    <xf numFmtId="10" fontId="14" fillId="35" borderId="16" xfId="44" applyNumberFormat="1" applyFont="1" applyFill="1" applyBorder="1"/>
    <xf numFmtId="164" fontId="0" fillId="37" borderId="10" xfId="43" applyNumberFormat="1" applyFont="1" applyFill="1" applyBorder="1"/>
    <xf numFmtId="10" fontId="0" fillId="37" borderId="10" xfId="44" applyNumberFormat="1" applyFont="1" applyFill="1" applyBorder="1"/>
    <xf numFmtId="43" fontId="0" fillId="0" borderId="0" xfId="0" applyNumberFormat="1" applyFill="1" applyBorder="1"/>
    <xf numFmtId="0" fontId="19" fillId="39" borderId="0" xfId="42" applyFont="1" applyFill="1" applyAlignment="1">
      <alignment horizontal="left"/>
    </xf>
    <xf numFmtId="43" fontId="0" fillId="37" borderId="10" xfId="43" applyFont="1" applyFill="1" applyBorder="1"/>
    <xf numFmtId="43" fontId="0" fillId="38" borderId="10" xfId="43" applyFont="1" applyFill="1" applyBorder="1"/>
    <xf numFmtId="43" fontId="0" fillId="36" borderId="26" xfId="43" applyFont="1" applyFill="1" applyBorder="1"/>
    <xf numFmtId="43" fontId="13" fillId="35" borderId="23" xfId="43" applyFont="1" applyFill="1" applyBorder="1" applyAlignment="1">
      <alignment horizontal="center"/>
    </xf>
    <xf numFmtId="43" fontId="25" fillId="34" borderId="20" xfId="43" applyFont="1" applyFill="1" applyBorder="1" applyAlignment="1">
      <alignment horizontal="center"/>
    </xf>
    <xf numFmtId="43" fontId="0" fillId="0" borderId="19" xfId="43" applyFont="1" applyFill="1" applyBorder="1"/>
    <xf numFmtId="43" fontId="14" fillId="0" borderId="19" xfId="43" applyFont="1" applyFill="1" applyBorder="1"/>
    <xf numFmtId="43" fontId="0" fillId="38" borderId="21" xfId="43" applyFont="1" applyFill="1" applyBorder="1"/>
    <xf numFmtId="43" fontId="0" fillId="36" borderId="30" xfId="43" applyFont="1" applyFill="1" applyBorder="1"/>
    <xf numFmtId="43" fontId="22" fillId="0" borderId="19" xfId="43" applyFont="1" applyFill="1" applyBorder="1"/>
    <xf numFmtId="9" fontId="0" fillId="0" borderId="0" xfId="44" applyFont="1"/>
    <xf numFmtId="43" fontId="0" fillId="0" borderId="0" xfId="0" quotePrefix="1" applyNumberFormat="1"/>
    <xf numFmtId="0" fontId="0" fillId="0" borderId="22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3" fontId="0" fillId="0" borderId="0" xfId="0" applyNumberFormat="1"/>
    <xf numFmtId="0" fontId="0" fillId="0" borderId="0" xfId="0" applyAlignment="1">
      <alignment horizontal="center"/>
    </xf>
    <xf numFmtId="43" fontId="26" fillId="0" borderId="0" xfId="0" applyNumberFormat="1" applyFont="1"/>
    <xf numFmtId="10" fontId="0" fillId="0" borderId="0" xfId="44" applyNumberFormat="1" applyFont="1"/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7" xfId="0" applyFont="1" applyBorder="1" applyAlignment="1">
      <alignment horizontal="center"/>
    </xf>
    <xf numFmtId="0" fontId="0" fillId="0" borderId="19" xfId="0" applyBorder="1"/>
    <xf numFmtId="0" fontId="16" fillId="0" borderId="28" xfId="0" applyFont="1" applyBorder="1" applyAlignment="1">
      <alignment horizontal="center"/>
    </xf>
    <xf numFmtId="4" fontId="0" fillId="0" borderId="0" xfId="0" applyNumberFormat="1" applyBorder="1"/>
    <xf numFmtId="4" fontId="0" fillId="0" borderId="11" xfId="0" applyNumberFormat="1" applyBorder="1"/>
    <xf numFmtId="10" fontId="0" fillId="0" borderId="11" xfId="44" applyNumberFormat="1" applyFont="1" applyBorder="1"/>
    <xf numFmtId="9" fontId="0" fillId="36" borderId="16" xfId="44" applyNumberFormat="1" applyFont="1" applyFill="1" applyBorder="1"/>
    <xf numFmtId="10" fontId="0" fillId="0" borderId="0" xfId="0" applyNumberFormat="1" applyFill="1" applyBorder="1"/>
    <xf numFmtId="0" fontId="13" fillId="35" borderId="23" xfId="0" applyFont="1" applyFill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3" fontId="0" fillId="0" borderId="29" xfId="0" applyNumberFormat="1" applyBorder="1"/>
    <xf numFmtId="0" fontId="0" fillId="0" borderId="29" xfId="0" applyFill="1" applyBorder="1"/>
    <xf numFmtId="10" fontId="0" fillId="0" borderId="29" xfId="0" applyNumberFormat="1" applyBorder="1"/>
    <xf numFmtId="43" fontId="0" fillId="33" borderId="30" xfId="43" applyFont="1" applyFill="1" applyBorder="1"/>
    <xf numFmtId="10" fontId="0" fillId="33" borderId="27" xfId="44" applyNumberFormat="1" applyFont="1" applyFill="1" applyBorder="1"/>
    <xf numFmtId="43" fontId="0" fillId="33" borderId="26" xfId="43" applyNumberFormat="1" applyFont="1" applyFill="1" applyBorder="1"/>
    <xf numFmtId="43" fontId="0" fillId="33" borderId="30" xfId="43" applyNumberFormat="1" applyFont="1" applyFill="1" applyBorder="1"/>
    <xf numFmtId="43" fontId="0" fillId="33" borderId="26" xfId="43" applyFont="1" applyFill="1" applyBorder="1"/>
    <xf numFmtId="164" fontId="0" fillId="33" borderId="26" xfId="43" applyNumberFormat="1" applyFont="1" applyFill="1" applyBorder="1"/>
    <xf numFmtId="4" fontId="0" fillId="0" borderId="0" xfId="0" applyNumberFormat="1" applyFont="1" applyBorder="1"/>
    <xf numFmtId="10" fontId="14" fillId="0" borderId="0" xfId="44" applyNumberFormat="1" applyFont="1" applyFill="1" applyBorder="1"/>
    <xf numFmtId="165" fontId="0" fillId="0" borderId="0" xfId="0" applyNumberFormat="1" applyFont="1" applyBorder="1"/>
    <xf numFmtId="4" fontId="0" fillId="0" borderId="22" xfId="0" applyNumberFormat="1" applyFont="1" applyBorder="1"/>
    <xf numFmtId="10" fontId="14" fillId="0" borderId="17" xfId="44" applyNumberFormat="1" applyFont="1" applyFill="1" applyBorder="1"/>
    <xf numFmtId="4" fontId="0" fillId="0" borderId="19" xfId="0" applyNumberFormat="1" applyFont="1" applyBorder="1"/>
    <xf numFmtId="4" fontId="0" fillId="0" borderId="19" xfId="0" applyNumberFormat="1" applyBorder="1" applyAlignment="1">
      <alignment horizontal="right"/>
    </xf>
    <xf numFmtId="4" fontId="0" fillId="0" borderId="18" xfId="0" applyNumberFormat="1" applyFont="1" applyBorder="1"/>
    <xf numFmtId="10" fontId="22" fillId="0" borderId="28" xfId="44" applyNumberFormat="1" applyFont="1" applyFill="1" applyBorder="1"/>
    <xf numFmtId="165" fontId="0" fillId="0" borderId="22" xfId="0" applyNumberFormat="1" applyFont="1" applyBorder="1"/>
    <xf numFmtId="165" fontId="0" fillId="0" borderId="19" xfId="0" applyNumberFormat="1" applyFont="1" applyBorder="1"/>
    <xf numFmtId="165" fontId="0" fillId="0" borderId="18" xfId="0" applyNumberFormat="1" applyFont="1" applyBorder="1"/>
    <xf numFmtId="4" fontId="0" fillId="0" borderId="12" xfId="0" applyNumberFormat="1" applyFont="1" applyBorder="1"/>
    <xf numFmtId="10" fontId="14" fillId="0" borderId="12" xfId="44" applyNumberFormat="1" applyFont="1" applyFill="1" applyBorder="1"/>
    <xf numFmtId="165" fontId="0" fillId="0" borderId="12" xfId="0" applyNumberFormat="1" applyFont="1" applyBorder="1"/>
    <xf numFmtId="4" fontId="0" fillId="0" borderId="11" xfId="0" applyNumberFormat="1" applyFont="1" applyBorder="1"/>
    <xf numFmtId="10" fontId="22" fillId="0" borderId="11" xfId="44" applyNumberFormat="1" applyFont="1" applyFill="1" applyBorder="1"/>
    <xf numFmtId="165" fontId="0" fillId="0" borderId="11" xfId="0" applyNumberFormat="1" applyFont="1" applyBorder="1"/>
    <xf numFmtId="0" fontId="0" fillId="36" borderId="10" xfId="0" applyFill="1" applyBorder="1"/>
    <xf numFmtId="43" fontId="22" fillId="36" borderId="21" xfId="43" applyFont="1" applyFill="1" applyBorder="1"/>
    <xf numFmtId="10" fontId="14" fillId="36" borderId="16" xfId="44" applyNumberFormat="1" applyFont="1" applyFill="1" applyBorder="1"/>
    <xf numFmtId="0" fontId="28" fillId="35" borderId="10" xfId="0" applyFont="1" applyFill="1" applyBorder="1"/>
    <xf numFmtId="43" fontId="22" fillId="35" borderId="21" xfId="43" applyFont="1" applyFill="1" applyBorder="1"/>
    <xf numFmtId="10" fontId="0" fillId="0" borderId="14" xfId="0" applyNumberFormat="1" applyBorder="1"/>
    <xf numFmtId="43" fontId="0" fillId="0" borderId="0" xfId="43" applyFont="1" applyFill="1" applyAlignment="1">
      <alignment horizontal="left"/>
    </xf>
    <xf numFmtId="0" fontId="13" fillId="35" borderId="23" xfId="0" applyFont="1" applyFill="1" applyBorder="1" applyAlignment="1">
      <alignment horizontal="center"/>
    </xf>
    <xf numFmtId="43" fontId="0" fillId="0" borderId="31" xfId="43" applyFont="1" applyFill="1" applyBorder="1"/>
    <xf numFmtId="43" fontId="0" fillId="0" borderId="29" xfId="43" applyNumberFormat="1" applyFont="1" applyFill="1" applyBorder="1"/>
    <xf numFmtId="43" fontId="22" fillId="0" borderId="29" xfId="43" applyFont="1" applyFill="1" applyBorder="1"/>
    <xf numFmtId="43" fontId="22" fillId="0" borderId="29" xfId="43" applyNumberFormat="1" applyFont="1" applyFill="1" applyBorder="1"/>
    <xf numFmtId="164" fontId="0" fillId="0" borderId="29" xfId="43" applyNumberFormat="1" applyFont="1" applyFill="1" applyBorder="1"/>
    <xf numFmtId="4" fontId="0" fillId="0" borderId="29" xfId="0" applyNumberFormat="1" applyFont="1" applyBorder="1"/>
    <xf numFmtId="43" fontId="0" fillId="33" borderId="29" xfId="43" applyNumberFormat="1" applyFont="1" applyFill="1" applyBorder="1"/>
    <xf numFmtId="43" fontId="0" fillId="33" borderId="31" xfId="43" applyFont="1" applyFill="1" applyBorder="1"/>
    <xf numFmtId="43" fontId="0" fillId="0" borderId="29" xfId="43" applyNumberFormat="1" applyFont="1" applyBorder="1"/>
    <xf numFmtId="10" fontId="0" fillId="0" borderId="29" xfId="44" applyNumberFormat="1" applyFont="1" applyFill="1" applyBorder="1"/>
    <xf numFmtId="10" fontId="14" fillId="0" borderId="29" xfId="44" applyNumberFormat="1" applyFont="1" applyFill="1" applyBorder="1"/>
    <xf numFmtId="43" fontId="0" fillId="0" borderId="29" xfId="43" applyFont="1" applyFill="1" applyBorder="1"/>
    <xf numFmtId="164" fontId="22" fillId="0" borderId="29" xfId="43" applyNumberFormat="1" applyFont="1" applyFill="1" applyBorder="1"/>
    <xf numFmtId="164" fontId="0" fillId="33" borderId="29" xfId="43" applyNumberFormat="1" applyFont="1" applyFill="1" applyBorder="1"/>
    <xf numFmtId="164" fontId="22" fillId="36" borderId="29" xfId="43" applyNumberFormat="1" applyFont="1" applyFill="1" applyBorder="1"/>
    <xf numFmtId="9" fontId="14" fillId="39" borderId="0" xfId="44" applyFont="1" applyFill="1" applyBorder="1"/>
    <xf numFmtId="9" fontId="0" fillId="40" borderId="10" xfId="44" applyFont="1" applyFill="1" applyBorder="1"/>
    <xf numFmtId="10" fontId="0" fillId="38" borderId="10" xfId="44" applyNumberFormat="1" applyFont="1" applyFill="1" applyBorder="1"/>
    <xf numFmtId="9" fontId="0" fillId="36" borderId="26" xfId="44" applyFont="1" applyFill="1" applyBorder="1"/>
    <xf numFmtId="10" fontId="0" fillId="33" borderId="10" xfId="44" applyNumberFormat="1" applyFont="1" applyFill="1" applyBorder="1"/>
    <xf numFmtId="10" fontId="0" fillId="33" borderId="12" xfId="44" applyNumberFormat="1" applyFont="1" applyFill="1" applyBorder="1"/>
    <xf numFmtId="10" fontId="0" fillId="36" borderId="10" xfId="44" applyNumberFormat="1" applyFont="1" applyFill="1" applyBorder="1"/>
    <xf numFmtId="9" fontId="14" fillId="0" borderId="0" xfId="44" applyNumberFormat="1" applyFont="1" applyFill="1" applyBorder="1"/>
    <xf numFmtId="10" fontId="0" fillId="33" borderId="26" xfId="44" applyNumberFormat="1" applyFont="1" applyFill="1" applyBorder="1"/>
    <xf numFmtId="10" fontId="14" fillId="0" borderId="0" xfId="44" applyNumberFormat="1" applyFont="1" applyBorder="1"/>
    <xf numFmtId="10" fontId="14" fillId="36" borderId="10" xfId="44" applyNumberFormat="1" applyFont="1" applyFill="1" applyBorder="1"/>
    <xf numFmtId="10" fontId="14" fillId="35" borderId="10" xfId="44" applyNumberFormat="1" applyFont="1" applyFill="1" applyBorder="1"/>
    <xf numFmtId="0" fontId="21" fillId="41" borderId="12" xfId="0" applyFont="1" applyFill="1" applyBorder="1" applyAlignment="1">
      <alignment horizontal="center"/>
    </xf>
    <xf numFmtId="10" fontId="21" fillId="41" borderId="17" xfId="0" applyNumberFormat="1" applyFont="1" applyFill="1" applyBorder="1" applyAlignment="1">
      <alignment horizontal="center"/>
    </xf>
    <xf numFmtId="0" fontId="21" fillId="40" borderId="12" xfId="0" applyFont="1" applyFill="1" applyBorder="1" applyAlignment="1">
      <alignment horizontal="center"/>
    </xf>
    <xf numFmtId="10" fontId="21" fillId="40" borderId="17" xfId="0" applyNumberFormat="1" applyFont="1" applyFill="1" applyBorder="1" applyAlignment="1">
      <alignment horizontal="center"/>
    </xf>
    <xf numFmtId="43" fontId="16" fillId="0" borderId="22" xfId="0" applyNumberFormat="1" applyFont="1" applyBorder="1" applyAlignment="1">
      <alignment horizontal="center"/>
    </xf>
    <xf numFmtId="9" fontId="14" fillId="39" borderId="29" xfId="44" applyFont="1" applyFill="1" applyBorder="1"/>
    <xf numFmtId="43" fontId="22" fillId="39" borderId="29" xfId="43" applyNumberFormat="1" applyFont="1" applyFill="1" applyBorder="1"/>
    <xf numFmtId="43" fontId="0" fillId="0" borderId="29" xfId="0" applyNumberFormat="1" applyFill="1" applyBorder="1"/>
    <xf numFmtId="9" fontId="0" fillId="40" borderId="29" xfId="44" applyFont="1" applyFill="1" applyBorder="1"/>
    <xf numFmtId="164" fontId="0" fillId="38" borderId="29" xfId="43" applyNumberFormat="1" applyFont="1" applyFill="1" applyBorder="1"/>
    <xf numFmtId="10" fontId="0" fillId="38" borderId="29" xfId="44" applyNumberFormat="1" applyFont="1" applyFill="1" applyBorder="1"/>
    <xf numFmtId="43" fontId="0" fillId="38" borderId="29" xfId="43" applyNumberFormat="1" applyFont="1" applyFill="1" applyBorder="1"/>
    <xf numFmtId="43" fontId="0" fillId="36" borderId="29" xfId="43" applyNumberFormat="1" applyFont="1" applyFill="1" applyBorder="1"/>
    <xf numFmtId="9" fontId="0" fillId="36" borderId="29" xfId="44" applyFont="1" applyFill="1" applyBorder="1"/>
    <xf numFmtId="10" fontId="0" fillId="33" borderId="29" xfId="44" applyNumberFormat="1" applyFont="1" applyFill="1" applyBorder="1"/>
    <xf numFmtId="43" fontId="0" fillId="42" borderId="29" xfId="43" applyNumberFormat="1" applyFont="1" applyFill="1" applyBorder="1"/>
    <xf numFmtId="10" fontId="0" fillId="36" borderId="29" xfId="44" applyNumberFormat="1" applyFont="1" applyFill="1" applyBorder="1"/>
    <xf numFmtId="43" fontId="0" fillId="0" borderId="29" xfId="0" applyNumberFormat="1" applyBorder="1" applyAlignment="1">
      <alignment horizontal="right"/>
    </xf>
    <xf numFmtId="10" fontId="0" fillId="0" borderId="29" xfId="0" applyNumberFormat="1" applyFill="1" applyBorder="1"/>
    <xf numFmtId="10" fontId="0" fillId="37" borderId="29" xfId="44" applyNumberFormat="1" applyFont="1" applyFill="1" applyBorder="1"/>
    <xf numFmtId="164" fontId="0" fillId="37" borderId="29" xfId="0" applyNumberFormat="1" applyFill="1" applyBorder="1"/>
    <xf numFmtId="10" fontId="14" fillId="36" borderId="29" xfId="44" applyNumberFormat="1" applyFont="1" applyFill="1" applyBorder="1"/>
    <xf numFmtId="9" fontId="14" fillId="39" borderId="35" xfId="44" applyFont="1" applyFill="1" applyBorder="1"/>
    <xf numFmtId="10" fontId="0" fillId="0" borderId="35" xfId="44" applyNumberFormat="1" applyFont="1" applyFill="1" applyBorder="1"/>
    <xf numFmtId="10" fontId="14" fillId="0" borderId="35" xfId="44" applyNumberFormat="1" applyFont="1" applyFill="1" applyBorder="1"/>
    <xf numFmtId="9" fontId="0" fillId="40" borderId="35" xfId="44" applyFont="1" applyFill="1" applyBorder="1"/>
    <xf numFmtId="10" fontId="0" fillId="38" borderId="35" xfId="44" applyNumberFormat="1" applyFont="1" applyFill="1" applyBorder="1"/>
    <xf numFmtId="9" fontId="0" fillId="36" borderId="35" xfId="44" applyFont="1" applyFill="1" applyBorder="1"/>
    <xf numFmtId="10" fontId="0" fillId="33" borderId="35" xfId="44" applyNumberFormat="1" applyFont="1" applyFill="1" applyBorder="1"/>
    <xf numFmtId="10" fontId="0" fillId="36" borderId="35" xfId="44" applyNumberFormat="1" applyFont="1" applyFill="1" applyBorder="1"/>
    <xf numFmtId="10" fontId="0" fillId="37" borderId="35" xfId="44" applyNumberFormat="1" applyFont="1" applyFill="1" applyBorder="1"/>
    <xf numFmtId="10" fontId="0" fillId="0" borderId="35" xfId="44" applyNumberFormat="1" applyFont="1" applyBorder="1"/>
    <xf numFmtId="10" fontId="14" fillId="36" borderId="35" xfId="44" applyNumberFormat="1" applyFont="1" applyFill="1" applyBorder="1"/>
    <xf numFmtId="10" fontId="0" fillId="35" borderId="37" xfId="44" applyNumberFormat="1" applyFont="1" applyFill="1" applyBorder="1"/>
    <xf numFmtId="164" fontId="22" fillId="35" borderId="37" xfId="43" applyNumberFormat="1" applyFont="1" applyFill="1" applyBorder="1"/>
    <xf numFmtId="10" fontId="0" fillId="0" borderId="37" xfId="44" applyNumberFormat="1" applyFont="1" applyBorder="1"/>
    <xf numFmtId="43" fontId="0" fillId="0" borderId="37" xfId="43" applyFont="1" applyBorder="1"/>
    <xf numFmtId="10" fontId="0" fillId="35" borderId="38" xfId="44" applyNumberFormat="1" applyFont="1" applyFill="1" applyBorder="1"/>
    <xf numFmtId="164" fontId="16" fillId="0" borderId="0" xfId="0" applyNumberFormat="1" applyFont="1" applyFill="1"/>
    <xf numFmtId="43" fontId="0" fillId="36" borderId="29" xfId="0" applyNumberFormat="1" applyFill="1" applyBorder="1"/>
    <xf numFmtId="0" fontId="0" fillId="36" borderId="29" xfId="0" applyFill="1" applyBorder="1"/>
    <xf numFmtId="43" fontId="0" fillId="38" borderId="29" xfId="0" applyNumberFormat="1" applyFill="1" applyBorder="1"/>
    <xf numFmtId="0" fontId="0" fillId="38" borderId="29" xfId="0" applyFill="1" applyBorder="1"/>
    <xf numFmtId="0" fontId="20" fillId="38" borderId="10" xfId="42" applyFont="1" applyFill="1" applyBorder="1" applyAlignment="1">
      <alignment horizontal="left"/>
    </xf>
    <xf numFmtId="10" fontId="14" fillId="38" borderId="16" xfId="44" applyNumberFormat="1" applyFont="1" applyFill="1" applyBorder="1"/>
    <xf numFmtId="10" fontId="14" fillId="38" borderId="10" xfId="44" applyNumberFormat="1" applyFont="1" applyFill="1" applyBorder="1"/>
    <xf numFmtId="10" fontId="14" fillId="38" borderId="29" xfId="44" applyNumberFormat="1" applyFont="1" applyFill="1" applyBorder="1"/>
    <xf numFmtId="43" fontId="0" fillId="38" borderId="29" xfId="43" applyFont="1" applyFill="1" applyBorder="1"/>
    <xf numFmtId="10" fontId="14" fillId="38" borderId="35" xfId="44" applyNumberFormat="1" applyFont="1" applyFill="1" applyBorder="1"/>
    <xf numFmtId="0" fontId="0" fillId="0" borderId="32" xfId="0" applyFill="1" applyBorder="1"/>
    <xf numFmtId="10" fontId="0" fillId="0" borderId="33" xfId="0" applyNumberFormat="1" applyFill="1" applyBorder="1"/>
    <xf numFmtId="0" fontId="0" fillId="0" borderId="33" xfId="0" applyFill="1" applyBorder="1"/>
    <xf numFmtId="43" fontId="0" fillId="0" borderId="33" xfId="0" applyNumberFormat="1" applyFill="1" applyBorder="1"/>
    <xf numFmtId="10" fontId="0" fillId="0" borderId="34" xfId="0" applyNumberFormat="1" applyFill="1" applyBorder="1"/>
    <xf numFmtId="43" fontId="22" fillId="39" borderId="31" xfId="43" applyFont="1" applyFill="1" applyBorder="1"/>
    <xf numFmtId="43" fontId="22" fillId="0" borderId="31" xfId="43" applyFont="1" applyFill="1" applyBorder="1"/>
    <xf numFmtId="43" fontId="0" fillId="38" borderId="31" xfId="43" applyFont="1" applyFill="1" applyBorder="1"/>
    <xf numFmtId="43" fontId="0" fillId="36" borderId="31" xfId="43" applyFont="1" applyFill="1" applyBorder="1"/>
    <xf numFmtId="43" fontId="0" fillId="37" borderId="31" xfId="43" applyFont="1" applyFill="1" applyBorder="1"/>
    <xf numFmtId="43" fontId="22" fillId="36" borderId="31" xfId="43" applyFont="1" applyFill="1" applyBorder="1"/>
    <xf numFmtId="43" fontId="22" fillId="35" borderId="36" xfId="43" applyFont="1" applyFill="1" applyBorder="1"/>
    <xf numFmtId="10" fontId="0" fillId="0" borderId="0" xfId="0" applyNumberFormat="1" applyBorder="1"/>
    <xf numFmtId="43" fontId="16" fillId="0" borderId="0" xfId="0" applyNumberFormat="1" applyFont="1" applyFill="1"/>
    <xf numFmtId="0" fontId="16" fillId="0" borderId="0" xfId="0" applyFont="1" applyFill="1" applyBorder="1"/>
    <xf numFmtId="43" fontId="16" fillId="39" borderId="0" xfId="0" applyNumberFormat="1" applyFont="1" applyFill="1"/>
    <xf numFmtId="43" fontId="16" fillId="35" borderId="0" xfId="0" applyNumberFormat="1" applyFont="1" applyFill="1"/>
    <xf numFmtId="43" fontId="16" fillId="38" borderId="0" xfId="0" applyNumberFormat="1" applyFont="1" applyFill="1"/>
    <xf numFmtId="43" fontId="16" fillId="36" borderId="0" xfId="0" applyNumberFormat="1" applyFont="1" applyFill="1"/>
    <xf numFmtId="166" fontId="0" fillId="33" borderId="10" xfId="43" applyNumberFormat="1" applyFont="1" applyFill="1" applyBorder="1"/>
    <xf numFmtId="166" fontId="0" fillId="0" borderId="0" xfId="0" applyNumberFormat="1"/>
    <xf numFmtId="166" fontId="22" fillId="35" borderId="21" xfId="43" applyNumberFormat="1" applyFont="1" applyFill="1" applyBorder="1"/>
    <xf numFmtId="166" fontId="0" fillId="33" borderId="12" xfId="43" applyNumberFormat="1" applyFont="1" applyFill="1" applyBorder="1"/>
    <xf numFmtId="0" fontId="0" fillId="39" borderId="24" xfId="0" applyFill="1" applyBorder="1"/>
    <xf numFmtId="43" fontId="0" fillId="39" borderId="24" xfId="43" applyFont="1" applyFill="1" applyBorder="1"/>
    <xf numFmtId="0" fontId="16" fillId="36" borderId="0" xfId="0" applyFont="1" applyFill="1" applyBorder="1"/>
    <xf numFmtId="43" fontId="16" fillId="36" borderId="0" xfId="43" applyFont="1" applyFill="1" applyBorder="1"/>
    <xf numFmtId="10" fontId="21" fillId="36" borderId="0" xfId="44" applyNumberFormat="1" applyFont="1" applyFill="1" applyBorder="1"/>
    <xf numFmtId="0" fontId="16" fillId="0" borderId="0" xfId="0" applyFont="1" applyBorder="1"/>
    <xf numFmtId="0" fontId="16" fillId="39" borderId="24" xfId="0" applyFont="1" applyFill="1" applyBorder="1"/>
    <xf numFmtId="43" fontId="16" fillId="0" borderId="0" xfId="0" applyNumberFormat="1" applyFont="1" applyFill="1" applyBorder="1"/>
    <xf numFmtId="10" fontId="16" fillId="0" borderId="0" xfId="0" applyNumberFormat="1" applyFont="1" applyFill="1" applyBorder="1"/>
    <xf numFmtId="43" fontId="1" fillId="0" borderId="0" xfId="43" applyFont="1" applyFill="1"/>
    <xf numFmtId="4" fontId="0" fillId="0" borderId="40" xfId="0" applyNumberFormat="1" applyFont="1" applyBorder="1"/>
    <xf numFmtId="168" fontId="0" fillId="0" borderId="0" xfId="43" applyNumberFormat="1" applyFont="1" applyFill="1"/>
    <xf numFmtId="168" fontId="0" fillId="0" borderId="19" xfId="43" applyNumberFormat="1" applyFont="1" applyFill="1" applyBorder="1"/>
    <xf numFmtId="0" fontId="0" fillId="0" borderId="0" xfId="0"/>
    <xf numFmtId="43" fontId="0" fillId="0" borderId="0" xfId="0" applyNumberFormat="1"/>
    <xf numFmtId="0" fontId="16" fillId="0" borderId="0" xfId="0" applyFont="1"/>
    <xf numFmtId="0" fontId="16" fillId="0" borderId="0" xfId="0" applyFont="1" applyFill="1" applyBorder="1"/>
    <xf numFmtId="4" fontId="0" fillId="0" borderId="0" xfId="0" applyNumberFormat="1"/>
    <xf numFmtId="0" fontId="30" fillId="0" borderId="0" xfId="0" applyFont="1"/>
    <xf numFmtId="43" fontId="30" fillId="0" borderId="29" xfId="43" applyFont="1" applyBorder="1" applyAlignment="1">
      <alignment horizontal="right"/>
    </xf>
    <xf numFmtId="0" fontId="30" fillId="0" borderId="29" xfId="0" applyFont="1" applyBorder="1" applyAlignment="1">
      <alignment horizontal="right"/>
    </xf>
    <xf numFmtId="0" fontId="30" fillId="0" borderId="29" xfId="0" applyFont="1" applyBorder="1"/>
    <xf numFmtId="4" fontId="30" fillId="0" borderId="29" xfId="0" applyNumberFormat="1" applyFont="1" applyBorder="1"/>
    <xf numFmtId="0" fontId="30" fillId="0" borderId="12" xfId="0" applyFont="1" applyBorder="1" applyAlignment="1">
      <alignment horizontal="right"/>
    </xf>
    <xf numFmtId="43" fontId="30" fillId="0" borderId="12" xfId="43" applyFont="1" applyBorder="1" applyAlignment="1">
      <alignment horizontal="right"/>
    </xf>
    <xf numFmtId="0" fontId="30" fillId="0" borderId="12" xfId="0" applyFont="1" applyBorder="1"/>
    <xf numFmtId="4" fontId="30" fillId="0" borderId="11" xfId="0" applyNumberFormat="1" applyFont="1" applyBorder="1"/>
    <xf numFmtId="0" fontId="30" fillId="0" borderId="11" xfId="0" applyFont="1" applyBorder="1" applyAlignment="1">
      <alignment horizontal="right"/>
    </xf>
    <xf numFmtId="43" fontId="30" fillId="0" borderId="11" xfId="43" applyFont="1" applyBorder="1" applyAlignment="1">
      <alignment horizontal="right"/>
    </xf>
    <xf numFmtId="0" fontId="30" fillId="0" borderId="11" xfId="0" applyFont="1" applyBorder="1"/>
    <xf numFmtId="17" fontId="30" fillId="0" borderId="0" xfId="0" applyNumberFormat="1" applyFont="1" applyFill="1" applyBorder="1"/>
    <xf numFmtId="14" fontId="16" fillId="0" borderId="0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39" borderId="32" xfId="0" applyFont="1" applyFill="1" applyBorder="1" applyAlignment="1">
      <alignment horizontal="center"/>
    </xf>
    <xf numFmtId="43" fontId="31" fillId="39" borderId="33" xfId="43" applyFont="1" applyFill="1" applyBorder="1" applyAlignment="1">
      <alignment horizontal="center"/>
    </xf>
    <xf numFmtId="0" fontId="31" fillId="39" borderId="33" xfId="0" applyFont="1" applyFill="1" applyBorder="1" applyAlignment="1">
      <alignment horizontal="center"/>
    </xf>
    <xf numFmtId="0" fontId="31" fillId="39" borderId="34" xfId="0" applyFont="1" applyFill="1" applyBorder="1"/>
    <xf numFmtId="17" fontId="30" fillId="0" borderId="31" xfId="0" applyNumberFormat="1" applyFont="1" applyBorder="1" applyAlignment="1">
      <alignment horizontal="right"/>
    </xf>
    <xf numFmtId="43" fontId="31" fillId="0" borderId="35" xfId="43" applyFont="1" applyBorder="1"/>
    <xf numFmtId="0" fontId="16" fillId="0" borderId="43" xfId="0" applyFont="1" applyBorder="1"/>
    <xf numFmtId="0" fontId="0" fillId="0" borderId="44" xfId="0" applyBorder="1" applyAlignment="1">
      <alignment horizontal="center"/>
    </xf>
    <xf numFmtId="43" fontId="31" fillId="39" borderId="38" xfId="43" applyFont="1" applyFill="1" applyBorder="1"/>
    <xf numFmtId="14" fontId="16" fillId="39" borderId="36" xfId="0" applyNumberFormat="1" applyFont="1" applyFill="1" applyBorder="1" applyAlignment="1">
      <alignment horizontal="center"/>
    </xf>
    <xf numFmtId="43" fontId="16" fillId="39" borderId="38" xfId="0" applyNumberFormat="1" applyFont="1" applyFill="1" applyBorder="1" applyAlignment="1">
      <alignment horizontal="center"/>
    </xf>
    <xf numFmtId="17" fontId="30" fillId="0" borderId="0" xfId="0" applyNumberFormat="1" applyFont="1" applyBorder="1" applyAlignment="1">
      <alignment horizontal="right"/>
    </xf>
    <xf numFmtId="43" fontId="30" fillId="0" borderId="0" xfId="43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43" fontId="31" fillId="0" borderId="0" xfId="43" applyFont="1" applyBorder="1"/>
    <xf numFmtId="0" fontId="0" fillId="0" borderId="43" xfId="0" applyBorder="1"/>
    <xf numFmtId="14" fontId="16" fillId="0" borderId="44" xfId="0" applyNumberFormat="1" applyFon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0" fontId="16" fillId="39" borderId="35" xfId="0" applyFont="1" applyFill="1" applyBorder="1" applyAlignment="1">
      <alignment horizontal="right"/>
    </xf>
    <xf numFmtId="17" fontId="30" fillId="0" borderId="31" xfId="0" applyNumberFormat="1" applyFont="1" applyBorder="1"/>
    <xf numFmtId="0" fontId="16" fillId="39" borderId="36" xfId="0" applyFont="1" applyFill="1" applyBorder="1" applyAlignment="1">
      <alignment horizontal="center"/>
    </xf>
    <xf numFmtId="43" fontId="16" fillId="39" borderId="38" xfId="43" applyFont="1" applyFill="1" applyBorder="1" applyAlignment="1">
      <alignment horizontal="center"/>
    </xf>
    <xf numFmtId="43" fontId="16" fillId="0" borderId="0" xfId="43" applyFont="1" applyFill="1" applyBorder="1" applyAlignment="1">
      <alignment horizontal="center"/>
    </xf>
    <xf numFmtId="17" fontId="31" fillId="0" borderId="49" xfId="0" applyNumberFormat="1" applyFont="1" applyBorder="1"/>
    <xf numFmtId="43" fontId="31" fillId="0" borderId="50" xfId="43" applyFont="1" applyBorder="1"/>
    <xf numFmtId="17" fontId="31" fillId="0" borderId="51" xfId="0" applyNumberFormat="1" applyFont="1" applyBorder="1"/>
    <xf numFmtId="43" fontId="31" fillId="0" borderId="52" xfId="43" applyFont="1" applyBorder="1"/>
    <xf numFmtId="0" fontId="0" fillId="39" borderId="53" xfId="0" applyFill="1" applyBorder="1"/>
    <xf numFmtId="4" fontId="0" fillId="39" borderId="54" xfId="0" applyNumberFormat="1" applyFill="1" applyBorder="1"/>
    <xf numFmtId="0" fontId="0" fillId="39" borderId="54" xfId="0" applyFill="1" applyBorder="1"/>
    <xf numFmtId="43" fontId="16" fillId="39" borderId="55" xfId="0" applyNumberFormat="1" applyFont="1" applyFill="1" applyBorder="1"/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17" fontId="30" fillId="0" borderId="29" xfId="0" applyNumberFormat="1" applyFont="1" applyBorder="1"/>
    <xf numFmtId="17" fontId="31" fillId="0" borderId="51" xfId="0" applyNumberFormat="1" applyFont="1" applyBorder="1" applyAlignment="1">
      <alignment horizontal="center"/>
    </xf>
    <xf numFmtId="17" fontId="31" fillId="0" borderId="52" xfId="0" applyNumberFormat="1" applyFont="1" applyBorder="1" applyAlignment="1">
      <alignment horizontal="center"/>
    </xf>
    <xf numFmtId="17" fontId="31" fillId="0" borderId="29" xfId="0" applyNumberFormat="1" applyFont="1" applyBorder="1" applyAlignment="1">
      <alignment horizontal="center"/>
    </xf>
    <xf numFmtId="9" fontId="31" fillId="0" borderId="29" xfId="0" applyNumberFormat="1" applyFont="1" applyBorder="1" applyAlignment="1">
      <alignment horizontal="center"/>
    </xf>
    <xf numFmtId="10" fontId="31" fillId="0" borderId="29" xfId="0" applyNumberFormat="1" applyFont="1" applyBorder="1" applyAlignment="1">
      <alignment horizontal="center"/>
    </xf>
    <xf numFmtId="4" fontId="31" fillId="0" borderId="12" xfId="0" applyNumberFormat="1" applyFont="1" applyBorder="1"/>
    <xf numFmtId="17" fontId="30" fillId="0" borderId="29" xfId="0" applyNumberFormat="1" applyFont="1" applyBorder="1" applyAlignment="1">
      <alignment horizontal="right"/>
    </xf>
    <xf numFmtId="0" fontId="30" fillId="0" borderId="39" xfId="0" applyFont="1" applyBorder="1" applyAlignment="1">
      <alignment horizontal="right"/>
    </xf>
    <xf numFmtId="43" fontId="30" fillId="0" borderId="39" xfId="43" applyFont="1" applyBorder="1" applyAlignment="1">
      <alignment horizontal="right"/>
    </xf>
    <xf numFmtId="0" fontId="30" fillId="0" borderId="39" xfId="0" applyFont="1" applyBorder="1"/>
    <xf numFmtId="17" fontId="31" fillId="0" borderId="58" xfId="0" applyNumberFormat="1" applyFont="1" applyBorder="1"/>
    <xf numFmtId="4" fontId="31" fillId="0" borderId="60" xfId="0" applyNumberFormat="1" applyFont="1" applyBorder="1"/>
    <xf numFmtId="0" fontId="30" fillId="0" borderId="60" xfId="0" applyFont="1" applyBorder="1" applyAlignment="1">
      <alignment horizontal="right"/>
    </xf>
    <xf numFmtId="43" fontId="30" fillId="0" borderId="60" xfId="43" applyFont="1" applyBorder="1" applyAlignment="1">
      <alignment horizontal="right"/>
    </xf>
    <xf numFmtId="0" fontId="30" fillId="0" borderId="60" xfId="0" applyFont="1" applyBorder="1"/>
    <xf numFmtId="43" fontId="31" fillId="0" borderId="59" xfId="43" applyFont="1" applyBorder="1"/>
    <xf numFmtId="17" fontId="31" fillId="0" borderId="39" xfId="0" applyNumberFormat="1" applyFont="1" applyBorder="1" applyAlignment="1">
      <alignment horizontal="center"/>
    </xf>
    <xf numFmtId="4" fontId="0" fillId="0" borderId="0" xfId="0" applyNumberFormat="1" applyFont="1" applyFill="1" applyBorder="1"/>
    <xf numFmtId="166" fontId="22" fillId="36" borderId="21" xfId="43" applyNumberFormat="1" applyFont="1" applyFill="1" applyBorder="1"/>
    <xf numFmtId="43" fontId="1" fillId="0" borderId="0" xfId="43" applyNumberFormat="1" applyFont="1" applyFill="1"/>
    <xf numFmtId="164" fontId="0" fillId="0" borderId="0" xfId="44" applyNumberFormat="1" applyFont="1" applyFill="1" applyBorder="1"/>
    <xf numFmtId="14" fontId="0" fillId="36" borderId="31" xfId="0" applyNumberFormat="1" applyFill="1" applyBorder="1" applyAlignment="1">
      <alignment horizontal="center"/>
    </xf>
    <xf numFmtId="4" fontId="0" fillId="36" borderId="35" xfId="0" applyNumberFormat="1" applyFill="1" applyBorder="1" applyAlignment="1">
      <alignment horizontal="right"/>
    </xf>
    <xf numFmtId="14" fontId="0" fillId="36" borderId="31" xfId="0" applyNumberFormat="1" applyFont="1" applyFill="1" applyBorder="1" applyAlignment="1">
      <alignment horizontal="center"/>
    </xf>
    <xf numFmtId="43" fontId="0" fillId="36" borderId="35" xfId="43" applyFont="1" applyFill="1" applyBorder="1" applyAlignment="1">
      <alignment horizontal="center"/>
    </xf>
    <xf numFmtId="0" fontId="30" fillId="0" borderId="23" xfId="0" applyFont="1" applyBorder="1"/>
    <xf numFmtId="0" fontId="30" fillId="0" borderId="23" xfId="0" applyFont="1" applyBorder="1" applyAlignment="1">
      <alignment horizontal="right"/>
    </xf>
    <xf numFmtId="0" fontId="30" fillId="0" borderId="22" xfId="0" applyFont="1" applyBorder="1"/>
    <xf numFmtId="169" fontId="31" fillId="0" borderId="11" xfId="0" applyNumberFormat="1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0" xfId="0" applyFont="1" applyAlignment="1">
      <alignment horizontal="center"/>
    </xf>
    <xf numFmtId="4" fontId="30" fillId="0" borderId="29" xfId="0" applyNumberFormat="1" applyFont="1" applyBorder="1" applyAlignment="1">
      <alignment horizontal="center"/>
    </xf>
    <xf numFmtId="4" fontId="30" fillId="0" borderId="39" xfId="0" applyNumberFormat="1" applyFont="1" applyBorder="1" applyAlignment="1">
      <alignment horizontal="center"/>
    </xf>
    <xf numFmtId="43" fontId="0" fillId="36" borderId="35" xfId="43" applyFont="1" applyFill="1" applyBorder="1" applyAlignment="1">
      <alignment horizontal="right"/>
    </xf>
    <xf numFmtId="14" fontId="0" fillId="36" borderId="56" xfId="0" applyNumberFormat="1" applyFill="1" applyBorder="1" applyAlignment="1">
      <alignment horizontal="center"/>
    </xf>
    <xf numFmtId="43" fontId="0" fillId="36" borderId="57" xfId="43" applyFont="1" applyFill="1" applyBorder="1" applyAlignment="1">
      <alignment horizontal="right"/>
    </xf>
    <xf numFmtId="17" fontId="30" fillId="36" borderId="61" xfId="0" applyNumberFormat="1" applyFont="1" applyFill="1" applyBorder="1" applyAlignment="1">
      <alignment horizontal="right"/>
    </xf>
    <xf numFmtId="4" fontId="33" fillId="36" borderId="29" xfId="0" applyNumberFormat="1" applyFont="1" applyFill="1" applyBorder="1" applyAlignment="1">
      <alignment horizontal="center"/>
    </xf>
    <xf numFmtId="0" fontId="30" fillId="36" borderId="25" xfId="0" applyFont="1" applyFill="1" applyBorder="1" applyAlignment="1">
      <alignment horizontal="right"/>
    </xf>
    <xf numFmtId="43" fontId="30" fillId="36" borderId="29" xfId="43" applyFont="1" applyFill="1" applyBorder="1" applyAlignment="1">
      <alignment horizontal="right"/>
    </xf>
    <xf numFmtId="2" fontId="30" fillId="36" borderId="29" xfId="0" applyNumberFormat="1" applyFont="1" applyFill="1" applyBorder="1"/>
    <xf numFmtId="0" fontId="30" fillId="36" borderId="23" xfId="0" applyFont="1" applyFill="1" applyBorder="1"/>
    <xf numFmtId="2" fontId="30" fillId="36" borderId="29" xfId="0" applyNumberFormat="1" applyFont="1" applyFill="1" applyBorder="1" applyAlignment="1">
      <alignment horizontal="right"/>
    </xf>
    <xf numFmtId="0" fontId="30" fillId="36" borderId="23" xfId="0" applyFont="1" applyFill="1" applyBorder="1" applyAlignment="1">
      <alignment horizontal="right"/>
    </xf>
    <xf numFmtId="2" fontId="30" fillId="36" borderId="29" xfId="43" applyNumberFormat="1" applyFont="1" applyFill="1" applyBorder="1" applyAlignment="1">
      <alignment horizontal="center"/>
    </xf>
    <xf numFmtId="2" fontId="30" fillId="36" borderId="23" xfId="0" applyNumberFormat="1" applyFont="1" applyFill="1" applyBorder="1"/>
    <xf numFmtId="17" fontId="30" fillId="36" borderId="31" xfId="0" applyNumberFormat="1" applyFont="1" applyFill="1" applyBorder="1" applyAlignment="1">
      <alignment horizontal="right"/>
    </xf>
    <xf numFmtId="0" fontId="30" fillId="36" borderId="29" xfId="0" applyFont="1" applyFill="1" applyBorder="1" applyAlignment="1">
      <alignment horizontal="right"/>
    </xf>
    <xf numFmtId="43" fontId="31" fillId="36" borderId="35" xfId="43" applyFont="1" applyFill="1" applyBorder="1"/>
    <xf numFmtId="43" fontId="31" fillId="0" borderId="35" xfId="43" applyNumberFormat="1" applyFont="1" applyBorder="1"/>
    <xf numFmtId="0" fontId="13" fillId="35" borderId="23" xfId="0" applyFont="1" applyFill="1" applyBorder="1" applyAlignment="1">
      <alignment horizontal="center"/>
    </xf>
    <xf numFmtId="10" fontId="0" fillId="0" borderId="0" xfId="0" applyNumberFormat="1" applyFill="1"/>
    <xf numFmtId="4" fontId="34" fillId="0" borderId="0" xfId="0" applyNumberFormat="1" applyFont="1"/>
    <xf numFmtId="0" fontId="29" fillId="0" borderId="0" xfId="0" applyFont="1" applyAlignment="1">
      <alignment horizontal="center"/>
    </xf>
    <xf numFmtId="17" fontId="30" fillId="0" borderId="61" xfId="0" applyNumberFormat="1" applyFont="1" applyFill="1" applyBorder="1" applyAlignment="1">
      <alignment horizontal="right"/>
    </xf>
    <xf numFmtId="4" fontId="33" fillId="0" borderId="29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right"/>
    </xf>
    <xf numFmtId="43" fontId="30" fillId="0" borderId="29" xfId="43" applyFont="1" applyFill="1" applyBorder="1" applyAlignment="1">
      <alignment horizontal="right"/>
    </xf>
    <xf numFmtId="2" fontId="30" fillId="0" borderId="29" xfId="0" applyNumberFormat="1" applyFont="1" applyFill="1" applyBorder="1"/>
    <xf numFmtId="0" fontId="30" fillId="0" borderId="23" xfId="0" applyFont="1" applyFill="1" applyBorder="1"/>
    <xf numFmtId="43" fontId="31" fillId="0" borderId="35" xfId="43" applyFont="1" applyFill="1" applyBorder="1"/>
    <xf numFmtId="2" fontId="30" fillId="0" borderId="29" xfId="0" applyNumberFormat="1" applyFont="1" applyFill="1" applyBorder="1" applyAlignment="1">
      <alignment horizontal="right"/>
    </xf>
    <xf numFmtId="0" fontId="30" fillId="0" borderId="23" xfId="0" applyFont="1" applyFill="1" applyBorder="1" applyAlignment="1">
      <alignment horizontal="right"/>
    </xf>
    <xf numFmtId="2" fontId="30" fillId="0" borderId="29" xfId="43" applyNumberFormat="1" applyFont="1" applyFill="1" applyBorder="1" applyAlignment="1">
      <alignment horizontal="center"/>
    </xf>
    <xf numFmtId="2" fontId="30" fillId="0" borderId="23" xfId="0" applyNumberFormat="1" applyFont="1" applyFill="1" applyBorder="1"/>
    <xf numFmtId="0" fontId="30" fillId="0" borderId="29" xfId="0" applyFont="1" applyFill="1" applyBorder="1" applyAlignment="1">
      <alignment horizontal="right"/>
    </xf>
    <xf numFmtId="4" fontId="30" fillId="0" borderId="29" xfId="0" applyNumberFormat="1" applyFont="1" applyFill="1" applyBorder="1" applyAlignment="1">
      <alignment horizontal="center"/>
    </xf>
    <xf numFmtId="43" fontId="31" fillId="0" borderId="35" xfId="43" applyNumberFormat="1" applyFont="1" applyFill="1" applyBorder="1"/>
    <xf numFmtId="0" fontId="30" fillId="0" borderId="29" xfId="0" applyFont="1" applyFill="1" applyBorder="1"/>
    <xf numFmtId="4" fontId="30" fillId="0" borderId="39" xfId="0" applyNumberFormat="1" applyFont="1" applyFill="1" applyBorder="1" applyAlignment="1">
      <alignment horizontal="center"/>
    </xf>
    <xf numFmtId="0" fontId="30" fillId="0" borderId="39" xfId="0" applyFont="1" applyFill="1" applyBorder="1" applyAlignment="1">
      <alignment horizontal="right"/>
    </xf>
    <xf numFmtId="43" fontId="30" fillId="0" borderId="39" xfId="43" applyFont="1" applyFill="1" applyBorder="1" applyAlignment="1">
      <alignment horizontal="right"/>
    </xf>
    <xf numFmtId="0" fontId="30" fillId="0" borderId="39" xfId="0" applyFont="1" applyFill="1" applyBorder="1"/>
    <xf numFmtId="0" fontId="30" fillId="0" borderId="22" xfId="0" applyFont="1" applyFill="1" applyBorder="1"/>
    <xf numFmtId="2" fontId="30" fillId="0" borderId="29" xfId="43" applyNumberFormat="1" applyFont="1" applyFill="1" applyBorder="1" applyAlignment="1">
      <alignment horizontal="center" vertical="center"/>
    </xf>
    <xf numFmtId="43" fontId="1" fillId="33" borderId="10" xfId="43" applyFont="1" applyFill="1" applyBorder="1"/>
    <xf numFmtId="10" fontId="31" fillId="0" borderId="65" xfId="44" applyNumberFormat="1" applyFont="1" applyFill="1" applyBorder="1" applyAlignment="1">
      <alignment horizontal="center"/>
    </xf>
    <xf numFmtId="10" fontId="31" fillId="0" borderId="66" xfId="44" applyNumberFormat="1" applyFont="1" applyFill="1" applyBorder="1" applyAlignment="1">
      <alignment horizontal="center"/>
    </xf>
    <xf numFmtId="10" fontId="31" fillId="0" borderId="67" xfId="44" applyNumberFormat="1" applyFont="1" applyFill="1" applyBorder="1" applyAlignment="1">
      <alignment horizontal="center"/>
    </xf>
    <xf numFmtId="10" fontId="30" fillId="0" borderId="69" xfId="44" applyNumberFormat="1" applyFont="1" applyFill="1" applyBorder="1"/>
    <xf numFmtId="0" fontId="31" fillId="0" borderId="0" xfId="0" applyFont="1" applyFill="1" applyBorder="1"/>
    <xf numFmtId="10" fontId="30" fillId="0" borderId="0" xfId="44" applyNumberFormat="1" applyFont="1" applyFill="1" applyBorder="1"/>
    <xf numFmtId="43" fontId="30" fillId="0" borderId="43" xfId="0" applyNumberFormat="1" applyFont="1" applyFill="1" applyBorder="1"/>
    <xf numFmtId="10" fontId="30" fillId="0" borderId="70" xfId="44" applyNumberFormat="1" applyFont="1" applyFill="1" applyBorder="1"/>
    <xf numFmtId="43" fontId="30" fillId="0" borderId="71" xfId="0" applyNumberFormat="1" applyFont="1" applyFill="1" applyBorder="1"/>
    <xf numFmtId="10" fontId="30" fillId="0" borderId="72" xfId="44" applyNumberFormat="1" applyFont="1" applyFill="1" applyBorder="1"/>
    <xf numFmtId="43" fontId="30" fillId="0" borderId="73" xfId="0" applyNumberFormat="1" applyFont="1" applyFill="1" applyBorder="1"/>
    <xf numFmtId="0" fontId="30" fillId="0" borderId="0" xfId="0" applyFont="1" applyFill="1" applyBorder="1"/>
    <xf numFmtId="43" fontId="31" fillId="0" borderId="43" xfId="0" applyNumberFormat="1" applyFont="1" applyFill="1" applyBorder="1"/>
    <xf numFmtId="43" fontId="31" fillId="0" borderId="73" xfId="0" applyNumberFormat="1" applyFont="1" applyFill="1" applyBorder="1"/>
    <xf numFmtId="10" fontId="30" fillId="0" borderId="74" xfId="44" applyNumberFormat="1" applyFont="1" applyFill="1" applyBorder="1"/>
    <xf numFmtId="43" fontId="30" fillId="0" borderId="75" xfId="43" applyFont="1" applyFill="1" applyBorder="1"/>
    <xf numFmtId="10" fontId="30" fillId="0" borderId="76" xfId="44" applyNumberFormat="1" applyFont="1" applyFill="1" applyBorder="1"/>
    <xf numFmtId="0" fontId="31" fillId="0" borderId="24" xfId="0" applyFont="1" applyFill="1" applyBorder="1"/>
    <xf numFmtId="10" fontId="31" fillId="0" borderId="24" xfId="44" applyNumberFormat="1" applyFont="1" applyFill="1" applyBorder="1"/>
    <xf numFmtId="43" fontId="31" fillId="0" borderId="61" xfId="0" applyNumberFormat="1" applyFont="1" applyFill="1" applyBorder="1"/>
    <xf numFmtId="10" fontId="30" fillId="0" borderId="77" xfId="44" applyNumberFormat="1" applyFont="1" applyFill="1" applyBorder="1"/>
    <xf numFmtId="43" fontId="30" fillId="0" borderId="78" xfId="0" applyNumberFormat="1" applyFont="1" applyFill="1" applyBorder="1"/>
    <xf numFmtId="43" fontId="31" fillId="43" borderId="43" xfId="0" applyNumberFormat="1" applyFont="1" applyFill="1" applyBorder="1"/>
    <xf numFmtId="10" fontId="31" fillId="43" borderId="72" xfId="44" applyNumberFormat="1" applyFont="1" applyFill="1" applyBorder="1"/>
    <xf numFmtId="166" fontId="31" fillId="43" borderId="73" xfId="0" applyNumberFormat="1" applyFont="1" applyFill="1" applyBorder="1"/>
    <xf numFmtId="10" fontId="30" fillId="39" borderId="81" xfId="44" applyNumberFormat="1" applyFont="1" applyFill="1" applyBorder="1"/>
    <xf numFmtId="0" fontId="31" fillId="39" borderId="60" xfId="0" applyFont="1" applyFill="1" applyBorder="1"/>
    <xf numFmtId="10" fontId="30" fillId="39" borderId="60" xfId="44" applyNumberFormat="1" applyFont="1" applyFill="1" applyBorder="1"/>
    <xf numFmtId="43" fontId="31" fillId="39" borderId="58" xfId="0" applyNumberFormat="1" applyFont="1" applyFill="1" applyBorder="1"/>
    <xf numFmtId="43" fontId="31" fillId="43" borderId="85" xfId="0" applyNumberFormat="1" applyFont="1" applyFill="1" applyBorder="1"/>
    <xf numFmtId="10" fontId="31" fillId="43" borderId="86" xfId="44" applyNumberFormat="1" applyFont="1" applyFill="1" applyBorder="1"/>
    <xf numFmtId="43" fontId="31" fillId="43" borderId="87" xfId="0" applyNumberFormat="1" applyFont="1" applyFill="1" applyBorder="1"/>
    <xf numFmtId="0" fontId="0" fillId="0" borderId="29" xfId="0" applyNumberFormat="1" applyFill="1" applyBorder="1"/>
    <xf numFmtId="0" fontId="16" fillId="0" borderId="29" xfId="0" applyNumberFormat="1" applyFont="1" applyFill="1" applyBorder="1"/>
    <xf numFmtId="43" fontId="16" fillId="0" borderId="29" xfId="43" applyFont="1" applyFill="1" applyBorder="1"/>
    <xf numFmtId="17" fontId="31" fillId="0" borderId="29" xfId="0" applyNumberFormat="1" applyFont="1" applyFill="1" applyBorder="1" applyAlignment="1">
      <alignment horizontal="center"/>
    </xf>
    <xf numFmtId="17" fontId="30" fillId="0" borderId="29" xfId="0" applyNumberFormat="1" applyFont="1" applyFill="1" applyBorder="1" applyAlignment="1">
      <alignment horizontal="center"/>
    </xf>
    <xf numFmtId="4" fontId="31" fillId="0" borderId="29" xfId="0" applyNumberFormat="1" applyFont="1" applyFill="1" applyBorder="1" applyAlignment="1">
      <alignment horizontal="center"/>
    </xf>
    <xf numFmtId="2" fontId="0" fillId="0" borderId="26" xfId="43" applyNumberFormat="1" applyFont="1" applyFill="1" applyBorder="1" applyAlignment="1">
      <alignment horizontal="center"/>
    </xf>
    <xf numFmtId="43" fontId="22" fillId="0" borderId="31" xfId="43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9" fontId="14" fillId="0" borderId="14" xfId="44" applyNumberFormat="1" applyFont="1" applyFill="1" applyBorder="1"/>
    <xf numFmtId="43" fontId="0" fillId="0" borderId="0" xfId="43" applyNumberFormat="1" applyFont="1" applyFill="1"/>
    <xf numFmtId="10" fontId="14" fillId="0" borderId="14" xfId="44" applyNumberFormat="1" applyFont="1" applyFill="1" applyBorder="1"/>
    <xf numFmtId="43" fontId="0" fillId="0" borderId="19" xfId="43" applyNumberFormat="1" applyFont="1" applyFill="1" applyBorder="1"/>
    <xf numFmtId="43" fontId="0" fillId="0" borderId="0" xfId="43" applyNumberFormat="1" applyFont="1" applyFill="1"/>
    <xf numFmtId="43" fontId="0" fillId="0" borderId="19" xfId="43" applyNumberFormat="1" applyFont="1" applyFill="1" applyBorder="1"/>
    <xf numFmtId="43" fontId="22" fillId="0" borderId="0" xfId="43" applyFont="1" applyFill="1"/>
    <xf numFmtId="43" fontId="0" fillId="0" borderId="0" xfId="43" applyNumberFormat="1" applyFont="1" applyFill="1"/>
    <xf numFmtId="43" fontId="22" fillId="0" borderId="0" xfId="43" applyNumberFormat="1" applyFont="1" applyFill="1"/>
    <xf numFmtId="43" fontId="0" fillId="0" borderId="19" xfId="43" applyNumberFormat="1" applyFont="1" applyFill="1" applyBorder="1"/>
    <xf numFmtId="43" fontId="22" fillId="0" borderId="0" xfId="43" applyFont="1" applyFill="1"/>
    <xf numFmtId="43" fontId="0" fillId="0" borderId="0" xfId="43" applyNumberFormat="1" applyFont="1" applyFill="1"/>
    <xf numFmtId="43" fontId="22" fillId="0" borderId="0" xfId="43" applyNumberFormat="1" applyFont="1" applyFill="1"/>
    <xf numFmtId="43" fontId="0" fillId="0" borderId="19" xfId="43" applyNumberFormat="1" applyFont="1" applyFill="1" applyBorder="1"/>
    <xf numFmtId="43" fontId="0" fillId="0" borderId="0" xfId="43" applyFont="1" applyFill="1"/>
    <xf numFmtId="43" fontId="22" fillId="0" borderId="0" xfId="43" applyFont="1" applyFill="1"/>
    <xf numFmtId="43" fontId="0" fillId="0" borderId="0" xfId="43" applyNumberFormat="1" applyFont="1" applyFill="1"/>
    <xf numFmtId="43" fontId="22" fillId="0" borderId="0" xfId="43" applyNumberFormat="1" applyFont="1" applyFill="1"/>
    <xf numFmtId="43" fontId="0" fillId="0" borderId="19" xfId="43" applyNumberFormat="1" applyFont="1" applyFill="1" applyBorder="1"/>
    <xf numFmtId="43" fontId="1" fillId="0" borderId="0" xfId="43" applyNumberFormat="1" applyFont="1" applyFill="1"/>
    <xf numFmtId="43" fontId="1" fillId="0" borderId="19" xfId="43" applyFont="1" applyFill="1" applyBorder="1"/>
    <xf numFmtId="43" fontId="22" fillId="0" borderId="31" xfId="43" applyFont="1" applyFill="1" applyBorder="1"/>
    <xf numFmtId="43" fontId="0" fillId="0" borderId="19" xfId="43" applyNumberFormat="1" applyFont="1" applyFill="1" applyBorder="1"/>
    <xf numFmtId="43" fontId="0" fillId="0" borderId="19" xfId="43" applyNumberFormat="1" applyFont="1" applyFill="1" applyBorder="1"/>
    <xf numFmtId="43" fontId="0" fillId="0" borderId="19" xfId="43" applyNumberFormat="1" applyFont="1" applyFill="1" applyBorder="1"/>
    <xf numFmtId="43" fontId="0" fillId="0" borderId="19" xfId="43" applyNumberFormat="1" applyFont="1" applyFill="1" applyBorder="1"/>
    <xf numFmtId="43" fontId="0" fillId="0" borderId="19" xfId="43" applyNumberFormat="1" applyFont="1" applyFill="1" applyBorder="1"/>
    <xf numFmtId="10" fontId="14" fillId="0" borderId="14" xfId="44" applyNumberFormat="1" applyFont="1" applyFill="1" applyBorder="1"/>
    <xf numFmtId="43" fontId="0" fillId="0" borderId="19" xfId="43" applyNumberFormat="1" applyFont="1" applyFill="1" applyBorder="1"/>
    <xf numFmtId="43" fontId="0" fillId="0" borderId="0" xfId="43" applyFont="1" applyFill="1"/>
    <xf numFmtId="43" fontId="22" fillId="0" borderId="0" xfId="43" applyFont="1" applyFill="1"/>
    <xf numFmtId="43" fontId="0" fillId="0" borderId="0" xfId="43" applyNumberFormat="1" applyFont="1" applyFill="1"/>
    <xf numFmtId="10" fontId="14" fillId="0" borderId="14" xfId="44" applyNumberFormat="1" applyFont="1" applyFill="1" applyBorder="1"/>
    <xf numFmtId="43" fontId="22" fillId="0" borderId="0" xfId="43" applyNumberFormat="1" applyFont="1" applyFill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22" fillId="0" borderId="19" xfId="43" applyFont="1" applyFill="1" applyBorder="1"/>
    <xf numFmtId="43" fontId="22" fillId="0" borderId="29" xfId="43" applyNumberFormat="1" applyFont="1" applyFill="1" applyBorder="1"/>
    <xf numFmtId="4" fontId="0" fillId="0" borderId="29" xfId="0" applyNumberFormat="1" applyFont="1" applyBorder="1"/>
    <xf numFmtId="43" fontId="0" fillId="0" borderId="25" xfId="43" applyNumberFormat="1" applyFont="1" applyFill="1" applyBorder="1"/>
    <xf numFmtId="10" fontId="14" fillId="33" borderId="27" xfId="44" applyNumberFormat="1" applyFont="1" applyFill="1" applyBorder="1"/>
    <xf numFmtId="10" fontId="14" fillId="33" borderId="25" xfId="44" applyNumberFormat="1" applyFont="1" applyFill="1" applyBorder="1"/>
    <xf numFmtId="10" fontId="14" fillId="33" borderId="16" xfId="44" applyNumberFormat="1" applyFont="1" applyFill="1" applyBorder="1"/>
    <xf numFmtId="164" fontId="0" fillId="40" borderId="10" xfId="43" applyNumberFormat="1" applyFont="1" applyFill="1" applyBorder="1"/>
    <xf numFmtId="0" fontId="14" fillId="0" borderId="0" xfId="0" applyFont="1" applyFill="1"/>
    <xf numFmtId="0" fontId="22" fillId="0" borderId="0" xfId="0" applyFont="1" applyFill="1"/>
    <xf numFmtId="9" fontId="14" fillId="0" borderId="14" xfId="44" applyFont="1" applyFill="1" applyBorder="1"/>
    <xf numFmtId="9" fontId="14" fillId="0" borderId="0" xfId="44" applyFont="1" applyFill="1" applyBorder="1"/>
    <xf numFmtId="9" fontId="14" fillId="0" borderId="29" xfId="44" applyFont="1" applyFill="1" applyBorder="1"/>
    <xf numFmtId="9" fontId="14" fillId="0" borderId="35" xfId="44" applyFont="1" applyFill="1" applyBorder="1"/>
    <xf numFmtId="0" fontId="0" fillId="0" borderId="0" xfId="0"/>
    <xf numFmtId="43" fontId="0" fillId="0" borderId="0" xfId="43" applyFont="1" applyFill="1"/>
    <xf numFmtId="43" fontId="22" fillId="0" borderId="0" xfId="43" applyFont="1" applyFill="1"/>
    <xf numFmtId="0" fontId="0" fillId="0" borderId="29" xfId="0" applyBorder="1"/>
    <xf numFmtId="43" fontId="22" fillId="0" borderId="19" xfId="43" applyFont="1" applyFill="1" applyBorder="1"/>
    <xf numFmtId="0" fontId="30" fillId="0" borderId="0" xfId="0" applyFont="1"/>
    <xf numFmtId="0" fontId="30" fillId="0" borderId="29" xfId="0" applyFont="1" applyBorder="1"/>
    <xf numFmtId="0" fontId="29" fillId="0" borderId="0" xfId="0" applyFont="1" applyAlignment="1">
      <alignment horizontal="center"/>
    </xf>
    <xf numFmtId="17" fontId="31" fillId="0" borderId="51" xfId="0" applyNumberFormat="1" applyFont="1" applyBorder="1" applyAlignment="1">
      <alignment horizontal="center"/>
    </xf>
    <xf numFmtId="17" fontId="31" fillId="0" borderId="52" xfId="0" applyNumberFormat="1" applyFont="1" applyBorder="1" applyAlignment="1">
      <alignment horizontal="center"/>
    </xf>
    <xf numFmtId="9" fontId="31" fillId="0" borderId="29" xfId="0" applyNumberFormat="1" applyFont="1" applyBorder="1" applyAlignment="1">
      <alignment horizontal="center"/>
    </xf>
    <xf numFmtId="10" fontId="31" fillId="0" borderId="29" xfId="0" applyNumberFormat="1" applyFont="1" applyBorder="1" applyAlignment="1">
      <alignment horizontal="center"/>
    </xf>
    <xf numFmtId="17" fontId="31" fillId="0" borderId="58" xfId="0" applyNumberFormat="1" applyFont="1" applyBorder="1"/>
    <xf numFmtId="4" fontId="31" fillId="0" borderId="60" xfId="0" applyNumberFormat="1" applyFont="1" applyBorder="1"/>
    <xf numFmtId="0" fontId="30" fillId="0" borderId="60" xfId="0" applyFont="1" applyBorder="1" applyAlignment="1">
      <alignment horizontal="right"/>
    </xf>
    <xf numFmtId="43" fontId="30" fillId="0" borderId="60" xfId="43" applyFont="1" applyBorder="1" applyAlignment="1">
      <alignment horizontal="right"/>
    </xf>
    <xf numFmtId="0" fontId="30" fillId="0" borderId="60" xfId="0" applyFont="1" applyBorder="1"/>
    <xf numFmtId="43" fontId="31" fillId="0" borderId="59" xfId="43" applyFont="1" applyBorder="1"/>
    <xf numFmtId="17" fontId="31" fillId="0" borderId="39" xfId="0" applyNumberFormat="1" applyFont="1" applyBorder="1" applyAlignment="1">
      <alignment horizontal="center"/>
    </xf>
    <xf numFmtId="4" fontId="0" fillId="0" borderId="0" xfId="0" applyNumberFormat="1" applyFont="1" applyFill="1" applyBorder="1"/>
    <xf numFmtId="43" fontId="1" fillId="0" borderId="0" xfId="43" applyNumberFormat="1" applyFont="1" applyFill="1"/>
    <xf numFmtId="169" fontId="31" fillId="0" borderId="11" xfId="0" applyNumberFormat="1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17" fontId="30" fillId="0" borderId="61" xfId="0" applyNumberFormat="1" applyFont="1" applyFill="1" applyBorder="1" applyAlignment="1">
      <alignment horizontal="right"/>
    </xf>
    <xf numFmtId="0" fontId="30" fillId="0" borderId="25" xfId="0" applyFont="1" applyFill="1" applyBorder="1" applyAlignment="1">
      <alignment horizontal="right"/>
    </xf>
    <xf numFmtId="43" fontId="30" fillId="0" borderId="29" xfId="43" applyFont="1" applyFill="1" applyBorder="1" applyAlignment="1">
      <alignment horizontal="right"/>
    </xf>
    <xf numFmtId="2" fontId="30" fillId="0" borderId="29" xfId="0" applyNumberFormat="1" applyFont="1" applyFill="1" applyBorder="1"/>
    <xf numFmtId="0" fontId="30" fillId="0" borderId="23" xfId="0" applyFont="1" applyFill="1" applyBorder="1"/>
    <xf numFmtId="43" fontId="31" fillId="0" borderId="35" xfId="43" applyFont="1" applyFill="1" applyBorder="1"/>
    <xf numFmtId="2" fontId="30" fillId="0" borderId="29" xfId="0" applyNumberFormat="1" applyFont="1" applyFill="1" applyBorder="1" applyAlignment="1">
      <alignment horizontal="right"/>
    </xf>
    <xf numFmtId="0" fontId="30" fillId="0" borderId="23" xfId="0" applyFont="1" applyFill="1" applyBorder="1" applyAlignment="1">
      <alignment horizontal="right"/>
    </xf>
    <xf numFmtId="2" fontId="30" fillId="0" borderId="23" xfId="0" applyNumberFormat="1" applyFont="1" applyFill="1" applyBorder="1"/>
    <xf numFmtId="0" fontId="30" fillId="0" borderId="29" xfId="0" applyFont="1" applyFill="1" applyBorder="1" applyAlignment="1">
      <alignment horizontal="right"/>
    </xf>
    <xf numFmtId="4" fontId="30" fillId="0" borderId="29" xfId="0" applyNumberFormat="1" applyFont="1" applyFill="1" applyBorder="1" applyAlignment="1">
      <alignment horizontal="center"/>
    </xf>
    <xf numFmtId="43" fontId="31" fillId="0" borderId="35" xfId="43" applyNumberFormat="1" applyFont="1" applyFill="1" applyBorder="1"/>
    <xf numFmtId="0" fontId="30" fillId="0" borderId="29" xfId="0" applyFont="1" applyFill="1" applyBorder="1"/>
    <xf numFmtId="4" fontId="30" fillId="0" borderId="39" xfId="0" applyNumberFormat="1" applyFont="1" applyFill="1" applyBorder="1" applyAlignment="1">
      <alignment horizontal="center"/>
    </xf>
    <xf numFmtId="0" fontId="30" fillId="0" borderId="39" xfId="0" applyFont="1" applyFill="1" applyBorder="1" applyAlignment="1">
      <alignment horizontal="right"/>
    </xf>
    <xf numFmtId="43" fontId="30" fillId="0" borderId="39" xfId="43" applyFont="1" applyFill="1" applyBorder="1" applyAlignment="1">
      <alignment horizontal="right"/>
    </xf>
    <xf numFmtId="0" fontId="30" fillId="0" borderId="39" xfId="0" applyFont="1" applyFill="1" applyBorder="1"/>
    <xf numFmtId="0" fontId="30" fillId="0" borderId="22" xfId="0" applyFont="1" applyFill="1" applyBorder="1"/>
    <xf numFmtId="2" fontId="0" fillId="0" borderId="26" xfId="43" applyNumberFormat="1" applyFont="1" applyFill="1" applyBorder="1" applyAlignment="1">
      <alignment horizontal="center"/>
    </xf>
    <xf numFmtId="0" fontId="0" fillId="39" borderId="0" xfId="0" applyFill="1"/>
    <xf numFmtId="4" fontId="33" fillId="0" borderId="29" xfId="43" applyNumberFormat="1" applyFont="1" applyFill="1" applyBorder="1" applyAlignment="1">
      <alignment horizontal="center"/>
    </xf>
    <xf numFmtId="4" fontId="30" fillId="0" borderId="29" xfId="43" applyNumberFormat="1" applyFont="1" applyBorder="1" applyAlignment="1">
      <alignment horizontal="center"/>
    </xf>
    <xf numFmtId="4" fontId="30" fillId="0" borderId="29" xfId="43" applyNumberFormat="1" applyFont="1" applyFill="1" applyBorder="1" applyAlignment="1">
      <alignment horizontal="center" vertical="center"/>
    </xf>
    <xf numFmtId="4" fontId="30" fillId="0" borderId="29" xfId="43" applyNumberFormat="1" applyFont="1" applyFill="1" applyBorder="1" applyAlignment="1">
      <alignment horizontal="center"/>
    </xf>
    <xf numFmtId="0" fontId="20" fillId="33" borderId="12" xfId="0" applyFont="1" applyFill="1" applyBorder="1" applyAlignment="1"/>
    <xf numFmtId="0" fontId="16" fillId="36" borderId="10" xfId="0" applyFont="1" applyFill="1" applyBorder="1"/>
    <xf numFmtId="17" fontId="0" fillId="0" borderId="31" xfId="0" applyNumberFormat="1" applyFill="1" applyBorder="1" applyAlignment="1">
      <alignment horizontal="center"/>
    </xf>
    <xf numFmtId="4" fontId="33" fillId="0" borderId="35" xfId="43" applyNumberFormat="1" applyFont="1" applyFill="1" applyBorder="1" applyAlignment="1">
      <alignment horizontal="center"/>
    </xf>
    <xf numFmtId="4" fontId="30" fillId="0" borderId="35" xfId="43" applyNumberFormat="1" applyFont="1" applyFill="1" applyBorder="1" applyAlignment="1">
      <alignment horizontal="center"/>
    </xf>
    <xf numFmtId="4" fontId="30" fillId="0" borderId="35" xfId="43" applyNumberFormat="1" applyFont="1" applyFill="1" applyBorder="1" applyAlignment="1">
      <alignment horizontal="center" vertical="center"/>
    </xf>
    <xf numFmtId="0" fontId="0" fillId="0" borderId="35" xfId="0" applyFill="1" applyBorder="1"/>
    <xf numFmtId="17" fontId="0" fillId="0" borderId="88" xfId="0" applyNumberFormat="1" applyFill="1" applyBorder="1" applyAlignment="1">
      <alignment horizontal="center"/>
    </xf>
    <xf numFmtId="4" fontId="33" fillId="0" borderId="89" xfId="43" applyNumberFormat="1" applyFont="1" applyFill="1" applyBorder="1" applyAlignment="1">
      <alignment horizontal="center"/>
    </xf>
    <xf numFmtId="17" fontId="0" fillId="0" borderId="56" xfId="0" applyNumberFormat="1" applyFill="1" applyBorder="1" applyAlignment="1">
      <alignment horizontal="center"/>
    </xf>
    <xf numFmtId="0" fontId="0" fillId="0" borderId="57" xfId="0" applyFill="1" applyBorder="1"/>
    <xf numFmtId="0" fontId="0" fillId="0" borderId="90" xfId="0" applyFill="1" applyBorder="1" applyAlignment="1">
      <alignment horizontal="center"/>
    </xf>
    <xf numFmtId="4" fontId="0" fillId="0" borderId="91" xfId="0" applyNumberForma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17" fontId="0" fillId="0" borderId="61" xfId="0" applyNumberFormat="1" applyFill="1" applyBorder="1" applyAlignment="1">
      <alignment horizontal="center"/>
    </xf>
    <xf numFmtId="0" fontId="0" fillId="0" borderId="89" xfId="0" applyFill="1" applyBorder="1"/>
    <xf numFmtId="2" fontId="0" fillId="0" borderId="35" xfId="43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right"/>
    </xf>
    <xf numFmtId="10" fontId="22" fillId="0" borderId="0" xfId="44" applyNumberFormat="1" applyFont="1" applyFill="1" applyBorder="1"/>
    <xf numFmtId="10" fontId="22" fillId="0" borderId="14" xfId="44" applyNumberFormat="1" applyFont="1" applyFill="1" applyBorder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" fontId="0" fillId="0" borderId="19" xfId="0" applyNumberFormat="1" applyFont="1" applyBorder="1"/>
    <xf numFmtId="164" fontId="22" fillId="41" borderId="22" xfId="43" applyNumberFormat="1" applyFont="1" applyFill="1" applyBorder="1"/>
    <xf numFmtId="164" fontId="22" fillId="40" borderId="0" xfId="43" applyNumberFormat="1" applyFont="1" applyFill="1" applyBorder="1"/>
    <xf numFmtId="164" fontId="22" fillId="41" borderId="19" xfId="43" applyNumberFormat="1" applyFont="1" applyFill="1" applyBorder="1"/>
    <xf numFmtId="4" fontId="0" fillId="0" borderId="19" xfId="0" applyNumberFormat="1" applyFont="1" applyFill="1" applyBorder="1"/>
    <xf numFmtId="10" fontId="14" fillId="0" borderId="28" xfId="44" applyNumberFormat="1" applyFont="1" applyFill="1" applyBorder="1"/>
    <xf numFmtId="164" fontId="22" fillId="41" borderId="18" xfId="43" applyNumberFormat="1" applyFont="1" applyFill="1" applyBorder="1"/>
    <xf numFmtId="164" fontId="22" fillId="40" borderId="11" xfId="43" applyNumberFormat="1" applyFont="1" applyFill="1" applyBorder="1"/>
    <xf numFmtId="164" fontId="22" fillId="40" borderId="19" xfId="43" applyNumberFormat="1" applyFont="1" applyFill="1" applyBorder="1"/>
    <xf numFmtId="164" fontId="22" fillId="40" borderId="18" xfId="43" applyNumberFormat="1" applyFont="1" applyFill="1" applyBorder="1"/>
    <xf numFmtId="0" fontId="13" fillId="35" borderId="11" xfId="0" applyFont="1" applyFill="1" applyBorder="1" applyAlignment="1">
      <alignment horizontal="center"/>
    </xf>
    <xf numFmtId="0" fontId="21" fillId="41" borderId="11" xfId="0" applyFont="1" applyFill="1" applyBorder="1" applyAlignment="1">
      <alignment horizontal="center"/>
    </xf>
    <xf numFmtId="0" fontId="21" fillId="40" borderId="11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10" fontId="31" fillId="43" borderId="84" xfId="44" applyNumberFormat="1" applyFont="1" applyFill="1" applyBorder="1" applyAlignment="1">
      <alignment horizontal="center"/>
    </xf>
    <xf numFmtId="10" fontId="31" fillId="43" borderId="85" xfId="44" applyNumberFormat="1" applyFont="1" applyFill="1" applyBorder="1" applyAlignment="1">
      <alignment horizontal="center"/>
    </xf>
    <xf numFmtId="43" fontId="16" fillId="0" borderId="23" xfId="0" applyNumberFormat="1" applyFont="1" applyFill="1" applyBorder="1" applyAlignment="1">
      <alignment horizontal="center"/>
    </xf>
    <xf numFmtId="43" fontId="16" fillId="0" borderId="25" xfId="0" applyNumberFormat="1" applyFont="1" applyFill="1" applyBorder="1" applyAlignment="1">
      <alignment horizontal="center"/>
    </xf>
    <xf numFmtId="10" fontId="31" fillId="43" borderId="62" xfId="44" applyNumberFormat="1" applyFont="1" applyFill="1" applyBorder="1" applyAlignment="1">
      <alignment horizontal="center"/>
    </xf>
    <xf numFmtId="10" fontId="31" fillId="43" borderId="63" xfId="44" applyNumberFormat="1" applyFont="1" applyFill="1" applyBorder="1" applyAlignment="1">
      <alignment horizontal="center"/>
    </xf>
    <xf numFmtId="10" fontId="31" fillId="43" borderId="64" xfId="44" applyNumberFormat="1" applyFont="1" applyFill="1" applyBorder="1" applyAlignment="1">
      <alignment horizontal="center"/>
    </xf>
    <xf numFmtId="10" fontId="31" fillId="0" borderId="41" xfId="44" applyNumberFormat="1" applyFont="1" applyFill="1" applyBorder="1" applyAlignment="1">
      <alignment horizontal="center"/>
    </xf>
    <xf numFmtId="10" fontId="31" fillId="0" borderId="68" xfId="44" applyNumberFormat="1" applyFont="1" applyFill="1" applyBorder="1" applyAlignment="1">
      <alignment horizontal="center"/>
    </xf>
    <xf numFmtId="0" fontId="31" fillId="43" borderId="79" xfId="0" applyFont="1" applyFill="1" applyBorder="1" applyAlignment="1">
      <alignment horizontal="center"/>
    </xf>
    <xf numFmtId="0" fontId="31" fillId="43" borderId="13" xfId="0" applyFont="1" applyFill="1" applyBorder="1" applyAlignment="1">
      <alignment horizontal="center"/>
    </xf>
    <xf numFmtId="0" fontId="31" fillId="43" borderId="80" xfId="0" applyFont="1" applyFill="1" applyBorder="1" applyAlignment="1">
      <alignment horizontal="center"/>
    </xf>
    <xf numFmtId="43" fontId="31" fillId="39" borderId="82" xfId="0" applyNumberFormat="1" applyFont="1" applyFill="1" applyBorder="1" applyAlignment="1">
      <alignment horizontal="center"/>
    </xf>
    <xf numFmtId="43" fontId="31" fillId="39" borderId="83" xfId="0" applyNumberFormat="1" applyFont="1" applyFill="1" applyBorder="1" applyAlignment="1">
      <alignment horizontal="center"/>
    </xf>
    <xf numFmtId="0" fontId="35" fillId="0" borderId="11" xfId="0" applyFont="1" applyFill="1" applyBorder="1" applyAlignment="1">
      <alignment horizontal="center"/>
    </xf>
    <xf numFmtId="0" fontId="35" fillId="0" borderId="2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17" fontId="31" fillId="0" borderId="46" xfId="0" applyNumberFormat="1" applyFont="1" applyBorder="1" applyAlignment="1">
      <alignment horizontal="center"/>
    </xf>
    <xf numFmtId="17" fontId="31" fillId="0" borderId="47" xfId="0" applyNumberFormat="1" applyFont="1" applyBorder="1" applyAlignment="1">
      <alignment horizontal="center"/>
    </xf>
    <xf numFmtId="17" fontId="31" fillId="0" borderId="48" xfId="0" applyNumberFormat="1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17" fontId="31" fillId="39" borderId="45" xfId="0" applyNumberFormat="1" applyFont="1" applyFill="1" applyBorder="1" applyAlignment="1">
      <alignment horizontal="center"/>
    </xf>
    <xf numFmtId="17" fontId="31" fillId="39" borderId="13" xfId="0" applyNumberFormat="1" applyFont="1" applyFill="1" applyBorder="1" applyAlignment="1">
      <alignment horizontal="center"/>
    </xf>
    <xf numFmtId="17" fontId="31" fillId="39" borderId="15" xfId="0" applyNumberFormat="1" applyFont="1" applyFill="1" applyBorder="1" applyAlignment="1">
      <alignment horizontal="center"/>
    </xf>
    <xf numFmtId="17" fontId="31" fillId="0" borderId="29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25" xfId="0" applyBorder="1"/>
    <xf numFmtId="0" fontId="16" fillId="0" borderId="46" xfId="0" applyFont="1" applyFill="1" applyBorder="1" applyAlignment="1">
      <alignment horizontal="center"/>
    </xf>
    <xf numFmtId="0" fontId="0" fillId="0" borderId="48" xfId="0" applyBorder="1"/>
    <xf numFmtId="0" fontId="16" fillId="0" borderId="45" xfId="0" applyFont="1" applyFill="1" applyBorder="1" applyAlignment="1">
      <alignment horizontal="center"/>
    </xf>
    <xf numFmtId="0" fontId="0" fillId="0" borderId="80" xfId="0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0066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2:M44"/>
  <sheetViews>
    <sheetView topLeftCell="B1" workbookViewId="0">
      <selection activeCell="E30" sqref="E30"/>
    </sheetView>
  </sheetViews>
  <sheetFormatPr defaultRowHeight="15"/>
  <cols>
    <col min="2" max="2" width="9.140625" style="1"/>
    <col min="4" max="4" width="40.28515625" customWidth="1"/>
    <col min="5" max="5" width="13.28515625" bestFit="1" customWidth="1"/>
    <col min="6" max="6" width="18.28515625" bestFit="1" customWidth="1"/>
    <col min="7" max="7" width="14.140625" bestFit="1" customWidth="1"/>
    <col min="8" max="8" width="5.140625" customWidth="1"/>
    <col min="9" max="9" width="11.42578125" customWidth="1"/>
    <col min="10" max="10" width="12.7109375" bestFit="1" customWidth="1"/>
    <col min="11" max="11" width="18.28515625" bestFit="1" customWidth="1"/>
    <col min="12" max="12" width="18" bestFit="1" customWidth="1"/>
    <col min="13" max="13" width="10.7109375" bestFit="1" customWidth="1"/>
  </cols>
  <sheetData>
    <row r="2" spans="1:13">
      <c r="E2" s="63"/>
      <c r="M2" s="1"/>
    </row>
    <row r="3" spans="1:13">
      <c r="A3" s="1" t="s">
        <v>65</v>
      </c>
      <c r="D3" s="1"/>
      <c r="E3" s="62"/>
    </row>
    <row r="4" spans="1:13" s="1" customFormat="1">
      <c r="A4" s="1" t="s">
        <v>124</v>
      </c>
      <c r="C4" s="1">
        <v>1</v>
      </c>
      <c r="D4" s="1" t="s">
        <v>139</v>
      </c>
      <c r="E4" s="63"/>
      <c r="G4" s="1" t="s">
        <v>164</v>
      </c>
    </row>
    <row r="5" spans="1:13" s="1" customFormat="1">
      <c r="C5" s="1">
        <v>2</v>
      </c>
      <c r="D5" s="1" t="s">
        <v>140</v>
      </c>
      <c r="E5" s="63"/>
      <c r="G5" s="1" t="s">
        <v>165</v>
      </c>
    </row>
    <row r="6" spans="1:13" s="1" customFormat="1">
      <c r="E6" s="63"/>
    </row>
    <row r="7" spans="1:13" s="1" customFormat="1">
      <c r="C7" s="1">
        <v>1</v>
      </c>
      <c r="D7" s="1" t="s">
        <v>141</v>
      </c>
      <c r="E7" s="63"/>
      <c r="G7" s="1" t="s">
        <v>164</v>
      </c>
    </row>
    <row r="8" spans="1:13" s="1" customFormat="1">
      <c r="A8" s="1" t="s">
        <v>86</v>
      </c>
      <c r="C8" s="1">
        <v>2</v>
      </c>
      <c r="D8" s="1" t="s">
        <v>142</v>
      </c>
      <c r="E8" s="63"/>
      <c r="F8" s="63"/>
      <c r="G8" s="63" t="s">
        <v>164</v>
      </c>
      <c r="H8" s="63"/>
      <c r="I8" s="63"/>
      <c r="J8" s="63"/>
      <c r="K8" s="63"/>
      <c r="L8" s="63"/>
      <c r="M8" s="63"/>
    </row>
    <row r="9" spans="1:13" s="1" customFormat="1">
      <c r="C9" s="1">
        <v>3</v>
      </c>
      <c r="D9" s="1" t="s">
        <v>143</v>
      </c>
      <c r="E9" s="63"/>
      <c r="F9" s="63"/>
      <c r="G9" s="63" t="s">
        <v>164</v>
      </c>
      <c r="H9" s="63"/>
      <c r="I9" s="63"/>
      <c r="J9" s="63"/>
      <c r="K9" s="63"/>
      <c r="L9" s="63"/>
      <c r="M9" s="63"/>
    </row>
    <row r="10" spans="1:13" s="1" customFormat="1">
      <c r="C10" s="1">
        <v>4</v>
      </c>
      <c r="D10" s="1" t="s">
        <v>144</v>
      </c>
      <c r="E10" s="63"/>
      <c r="F10" s="63"/>
      <c r="G10" s="63" t="s">
        <v>165</v>
      </c>
      <c r="H10" s="63"/>
      <c r="I10" s="63"/>
      <c r="J10" s="63"/>
      <c r="K10" s="63"/>
      <c r="L10" s="63"/>
      <c r="M10" s="63"/>
    </row>
    <row r="11" spans="1:13" s="1" customFormat="1">
      <c r="C11" s="1">
        <v>5</v>
      </c>
      <c r="D11" s="1" t="s">
        <v>145</v>
      </c>
      <c r="E11" s="63"/>
      <c r="F11" s="63"/>
      <c r="G11" s="63" t="s">
        <v>164</v>
      </c>
      <c r="H11" s="63"/>
      <c r="I11" s="63"/>
      <c r="J11" s="63"/>
      <c r="K11" s="63"/>
      <c r="L11" s="63"/>
      <c r="M11" s="63"/>
    </row>
    <row r="12" spans="1:13" s="1" customFormat="1">
      <c r="A12" s="1" t="s">
        <v>115</v>
      </c>
      <c r="C12" s="1">
        <v>6</v>
      </c>
      <c r="D12" s="1" t="s">
        <v>146</v>
      </c>
      <c r="E12" s="63" t="s">
        <v>148</v>
      </c>
      <c r="F12" s="63"/>
      <c r="G12" s="63" t="s">
        <v>164</v>
      </c>
      <c r="H12" s="63"/>
      <c r="I12" s="63"/>
      <c r="J12" s="63"/>
      <c r="K12" s="63"/>
      <c r="L12" s="63"/>
      <c r="M12" s="63"/>
    </row>
    <row r="13" spans="1:13" s="1" customFormat="1">
      <c r="C13" s="1">
        <v>7</v>
      </c>
      <c r="D13" s="1" t="s">
        <v>147</v>
      </c>
      <c r="E13" s="63"/>
      <c r="F13" s="136"/>
      <c r="G13" s="63" t="s">
        <v>164</v>
      </c>
      <c r="H13" s="63"/>
      <c r="I13" s="63"/>
      <c r="J13" s="63"/>
      <c r="K13" s="63"/>
      <c r="L13" s="63"/>
      <c r="M13" s="63"/>
    </row>
    <row r="14" spans="1:13" s="1" customFormat="1">
      <c r="C14" s="1">
        <v>8</v>
      </c>
      <c r="D14" s="1" t="s">
        <v>160</v>
      </c>
      <c r="E14" s="63"/>
      <c r="F14" s="136"/>
      <c r="G14" s="63" t="s">
        <v>164</v>
      </c>
      <c r="H14" s="63"/>
      <c r="I14" s="63"/>
      <c r="J14" s="63"/>
      <c r="K14" s="63"/>
      <c r="L14" s="63"/>
      <c r="M14" s="63"/>
    </row>
    <row r="15" spans="1:13" s="1" customFormat="1">
      <c r="C15" s="13">
        <v>9</v>
      </c>
      <c r="D15" s="13" t="s">
        <v>161</v>
      </c>
      <c r="E15" s="63"/>
      <c r="F15" s="136"/>
      <c r="G15" s="63" t="s">
        <v>167</v>
      </c>
      <c r="H15" s="63"/>
      <c r="I15" s="63"/>
      <c r="J15" s="63"/>
      <c r="K15" s="63"/>
      <c r="L15" s="63"/>
      <c r="M15" s="63"/>
    </row>
    <row r="16" spans="1:13" s="1" customFormat="1">
      <c r="C16" s="13">
        <v>10</v>
      </c>
      <c r="D16" s="13" t="s">
        <v>162</v>
      </c>
      <c r="E16" s="63"/>
      <c r="G16" s="63" t="s">
        <v>164</v>
      </c>
      <c r="L16" s="63"/>
      <c r="M16" s="63"/>
    </row>
    <row r="17" spans="3:13" s="1" customFormat="1">
      <c r="C17" s="13">
        <v>11</v>
      </c>
      <c r="D17" s="13" t="s">
        <v>163</v>
      </c>
      <c r="E17" s="63"/>
      <c r="G17" s="63" t="s">
        <v>165</v>
      </c>
      <c r="L17" s="63"/>
      <c r="M17" s="63"/>
    </row>
    <row r="18" spans="3:13" s="1" customFormat="1">
      <c r="C18" s="13">
        <v>12</v>
      </c>
      <c r="D18" s="13" t="s">
        <v>166</v>
      </c>
      <c r="E18" s="63"/>
      <c r="G18" s="63" t="s">
        <v>164</v>
      </c>
      <c r="L18" s="63"/>
      <c r="M18" s="63"/>
    </row>
    <row r="19" spans="3:13" s="1" customFormat="1">
      <c r="E19" s="63"/>
      <c r="L19" s="63"/>
      <c r="M19" s="63"/>
    </row>
    <row r="20" spans="3:13" s="1" customFormat="1">
      <c r="E20" s="63"/>
      <c r="L20" s="63"/>
      <c r="M20" s="63"/>
    </row>
    <row r="21" spans="3:13">
      <c r="C21" s="137"/>
      <c r="D21" s="147" t="s">
        <v>157</v>
      </c>
      <c r="E21" s="145"/>
      <c r="F21" s="145"/>
      <c r="G21" s="146" t="s">
        <v>131</v>
      </c>
      <c r="H21" s="138"/>
      <c r="I21" s="138"/>
      <c r="J21" s="145"/>
      <c r="K21" s="145"/>
      <c r="L21" s="148" t="s">
        <v>158</v>
      </c>
    </row>
    <row r="22" spans="3:13">
      <c r="C22" s="149"/>
      <c r="D22" s="101"/>
      <c r="E22" s="93" t="s">
        <v>72</v>
      </c>
      <c r="F22" s="93" t="s">
        <v>150</v>
      </c>
      <c r="G22" s="93" t="s">
        <v>154</v>
      </c>
      <c r="H22" s="101"/>
      <c r="I22" s="101"/>
      <c r="J22" s="93" t="s">
        <v>72</v>
      </c>
      <c r="K22" s="93" t="s">
        <v>150</v>
      </c>
      <c r="L22" s="150" t="s">
        <v>159</v>
      </c>
    </row>
    <row r="23" spans="3:13">
      <c r="C23" s="149">
        <v>1</v>
      </c>
      <c r="D23" s="101" t="s">
        <v>149</v>
      </c>
      <c r="E23" s="151">
        <v>7706135</v>
      </c>
      <c r="F23" s="151">
        <v>55516.639999999999</v>
      </c>
      <c r="G23" s="103">
        <f>F23/E23</f>
        <v>7.2042132664429052E-3</v>
      </c>
      <c r="H23" s="101"/>
      <c r="I23" s="101"/>
      <c r="J23" s="151">
        <v>14715474.800000001</v>
      </c>
      <c r="K23" s="151">
        <v>99753.89</v>
      </c>
      <c r="L23" s="72">
        <f>K23/J23</f>
        <v>6.7788427730514E-3</v>
      </c>
    </row>
    <row r="24" spans="3:13">
      <c r="C24" s="149">
        <v>2</v>
      </c>
      <c r="D24" s="101" t="s">
        <v>151</v>
      </c>
      <c r="E24" s="151">
        <v>8687901.9800000004</v>
      </c>
      <c r="F24" s="151">
        <v>64820.04</v>
      </c>
      <c r="G24" s="103">
        <f>F24/E24</f>
        <v>7.4609543419365326E-3</v>
      </c>
      <c r="H24" s="101"/>
      <c r="I24" s="101"/>
      <c r="J24" s="151">
        <v>15701903.98</v>
      </c>
      <c r="K24" s="151">
        <v>113776.6</v>
      </c>
      <c r="L24" s="72">
        <f>K24/J24</f>
        <v>7.2460384514464469E-3</v>
      </c>
    </row>
    <row r="25" spans="3:13">
      <c r="C25" s="149">
        <v>3</v>
      </c>
      <c r="D25" s="101" t="s">
        <v>152</v>
      </c>
      <c r="E25" s="151">
        <v>8882574.9900000002</v>
      </c>
      <c r="F25" s="151">
        <v>63970.9</v>
      </c>
      <c r="G25" s="103">
        <f>F25/E25</f>
        <v>7.2018418163672607E-3</v>
      </c>
      <c r="H25" s="101"/>
      <c r="I25" s="101"/>
      <c r="J25" s="151">
        <v>17170527.579999998</v>
      </c>
      <c r="K25" s="151">
        <v>122124.98</v>
      </c>
      <c r="L25" s="72">
        <f>K25/J25</f>
        <v>7.1124768549482168E-3</v>
      </c>
    </row>
    <row r="26" spans="3:13">
      <c r="C26" s="149">
        <v>4</v>
      </c>
      <c r="D26" s="101" t="s">
        <v>155</v>
      </c>
      <c r="E26" s="151">
        <v>0</v>
      </c>
      <c r="F26" s="151">
        <v>0</v>
      </c>
      <c r="G26" s="101">
        <v>0</v>
      </c>
      <c r="H26" s="101"/>
      <c r="I26" s="101"/>
      <c r="J26" s="101"/>
      <c r="K26" s="101"/>
      <c r="L26" s="15"/>
    </row>
    <row r="27" spans="3:13">
      <c r="C27" s="149"/>
      <c r="D27" s="101"/>
      <c r="E27" s="101"/>
      <c r="F27" s="101"/>
      <c r="G27" s="101"/>
      <c r="H27" s="101"/>
      <c r="I27" s="101"/>
      <c r="J27" s="101"/>
      <c r="K27" s="101"/>
      <c r="L27" s="15"/>
    </row>
    <row r="28" spans="3:13" s="1" customFormat="1">
      <c r="C28" s="149"/>
      <c r="D28" s="101"/>
      <c r="E28" s="145"/>
      <c r="F28" s="145"/>
      <c r="G28" s="146" t="s">
        <v>131</v>
      </c>
      <c r="H28" s="101"/>
      <c r="I28" s="101"/>
      <c r="J28" s="101"/>
      <c r="K28" s="101"/>
      <c r="L28" s="15"/>
    </row>
    <row r="29" spans="3:13" s="1" customFormat="1">
      <c r="C29" s="149"/>
      <c r="D29" s="101"/>
      <c r="E29" s="93" t="s">
        <v>72</v>
      </c>
      <c r="F29" s="93" t="s">
        <v>150</v>
      </c>
      <c r="G29" s="93" t="s">
        <v>153</v>
      </c>
      <c r="H29" s="101"/>
      <c r="I29" s="101"/>
      <c r="J29" s="101"/>
      <c r="K29" s="101"/>
      <c r="L29" s="15"/>
    </row>
    <row r="30" spans="3:13">
      <c r="C30" s="149">
        <v>1</v>
      </c>
      <c r="D30" s="101" t="s">
        <v>149</v>
      </c>
      <c r="E30" s="151">
        <v>8617055.3000000007</v>
      </c>
      <c r="F30" s="151">
        <v>56231.97</v>
      </c>
      <c r="G30" s="103">
        <f>F30/E30</f>
        <v>6.5256596415251035E-3</v>
      </c>
      <c r="H30" s="101"/>
      <c r="I30" s="101"/>
      <c r="J30" s="101"/>
      <c r="K30" s="101"/>
      <c r="L30" s="15"/>
    </row>
    <row r="31" spans="3:13">
      <c r="C31" s="149">
        <v>2</v>
      </c>
      <c r="D31" s="101" t="s">
        <v>151</v>
      </c>
      <c r="E31" s="151">
        <v>8779381</v>
      </c>
      <c r="F31" s="151">
        <v>62181.48</v>
      </c>
      <c r="G31" s="103">
        <f>F31/E31</f>
        <v>7.0826724572039881E-3</v>
      </c>
      <c r="H31" s="101"/>
      <c r="I31" s="101"/>
      <c r="J31" s="101"/>
      <c r="K31" s="101"/>
      <c r="L31" s="15"/>
    </row>
    <row r="32" spans="3:13">
      <c r="C32" s="149">
        <v>3</v>
      </c>
      <c r="D32" s="101" t="s">
        <v>152</v>
      </c>
      <c r="E32" s="151">
        <v>9977020.0899999999</v>
      </c>
      <c r="F32" s="151">
        <v>71641.740000000005</v>
      </c>
      <c r="G32" s="103">
        <f>F32/E32</f>
        <v>7.1806751268153465E-3</v>
      </c>
      <c r="H32" s="101"/>
      <c r="I32" s="101"/>
      <c r="J32" s="101"/>
      <c r="K32" s="101"/>
      <c r="L32" s="15"/>
    </row>
    <row r="33" spans="3:12">
      <c r="C33" s="139">
        <v>4</v>
      </c>
      <c r="D33" s="31" t="s">
        <v>156</v>
      </c>
      <c r="E33" s="152">
        <v>10100612.699999999</v>
      </c>
      <c r="F33" s="152">
        <v>74628.09</v>
      </c>
      <c r="G33" s="153">
        <f>F33/E33</f>
        <v>7.3884715924213192E-3</v>
      </c>
      <c r="H33" s="31"/>
      <c r="I33" s="31"/>
      <c r="J33" s="31"/>
      <c r="K33" s="31"/>
      <c r="L33" s="140"/>
    </row>
    <row r="36" spans="3:12">
      <c r="D36" s="142" t="s">
        <v>168</v>
      </c>
    </row>
    <row r="37" spans="3:12">
      <c r="C37">
        <v>400</v>
      </c>
      <c r="D37" s="144">
        <v>0.53054788295963407</v>
      </c>
    </row>
    <row r="38" spans="3:12">
      <c r="C38">
        <v>401</v>
      </c>
      <c r="D38" s="144">
        <v>0.48914763705732306</v>
      </c>
    </row>
    <row r="39" spans="3:12">
      <c r="C39">
        <v>402</v>
      </c>
      <c r="D39" s="144">
        <v>0.5062396913677023</v>
      </c>
    </row>
    <row r="40" spans="3:12">
      <c r="C40">
        <v>403</v>
      </c>
      <c r="D40" s="144">
        <v>0.50408774295927972</v>
      </c>
    </row>
    <row r="41" spans="3:12">
      <c r="C41">
        <v>404</v>
      </c>
      <c r="D41" s="144">
        <v>0.59960495680794612</v>
      </c>
    </row>
    <row r="42" spans="3:12">
      <c r="C42">
        <v>405</v>
      </c>
      <c r="D42" s="144">
        <v>0.45947211688083889</v>
      </c>
    </row>
    <row r="43" spans="3:12">
      <c r="D43" s="135"/>
    </row>
    <row r="44" spans="3:12">
      <c r="D44" s="135"/>
    </row>
  </sheetData>
  <customSheetViews>
    <customSheetView guid="{AA4262F8-9AB3-4147-94E2-8DEF81F7E83C}">
      <selection activeCell="H14" sqref="H14"/>
      <pageMargins left="0.7" right="0.7" top="0.75" bottom="0.75" header="0.3" footer="0.3"/>
      <pageSetup orientation="portrait" r:id="rId1"/>
    </customSheetView>
    <customSheetView guid="{A8167CC1-C909-4D11-B8D5-4313083C8125}" hiddenColumns="1" state="hidden">
      <selection activeCell="D5" sqref="D5"/>
      <pageMargins left="0.7" right="0.7" top="0.75" bottom="0.75" header="0.3" footer="0.3"/>
      <pageSetup orientation="portrait" r:id="rId2"/>
    </customSheetView>
    <customSheetView guid="{C4C974E7-2FCF-4C3A-A063-03001047949F}">
      <selection activeCell="B6" sqref="B6"/>
      <pageMargins left="0.7" right="0.7" top="0.75" bottom="0.75" header="0.3" footer="0.3"/>
      <pageSetup orientation="portrait" r:id="rId3"/>
    </customSheetView>
    <customSheetView guid="{B2BB7590-1CD2-4457-858D-F8835B99F338}">
      <selection activeCell="B6" sqref="B6"/>
      <pageMargins left="0.7" right="0.7" top="0.75" bottom="0.75" header="0.3" footer="0.3"/>
      <pageSetup orientation="portrait" r:id="rId4"/>
    </customSheetView>
    <customSheetView guid="{209662B1-09B2-4060-A837-250CED7848ED}">
      <selection activeCell="H14" sqref="H14"/>
      <pageMargins left="0.7" right="0.7" top="0.75" bottom="0.75" header="0.3" footer="0.3"/>
      <pageSetup orientation="portrait" r:id="rId5"/>
    </customSheetView>
    <customSheetView guid="{02AA01BD-C75B-4B6E-A8E6-EEB6E90D29E4}">
      <selection activeCell="A5" sqref="A5:XFD5"/>
      <pageMargins left="0.7" right="0.7" top="0.75" bottom="0.75" header="0.3" footer="0.3"/>
      <pageSetup orientation="portrait" r:id="rId6"/>
    </customSheetView>
    <customSheetView guid="{879F34B1-DA85-44D2-99EE-74A633FB2C72}" topLeftCell="B1">
      <selection activeCell="M14" sqref="M14"/>
      <pageMargins left="0.7" right="0.7" top="0.75" bottom="0.75" header="0.3" footer="0.3"/>
      <pageSetup orientation="portrait" r:id="rId7"/>
    </customSheetView>
    <customSheetView guid="{F3E5B7E7-D3C6-4CDC-BAA7-D62F15A870E4}" topLeftCell="B1">
      <selection activeCell="M14" sqref="M14"/>
      <pageMargins left="0.7" right="0.7" top="0.75" bottom="0.75" header="0.3" footer="0.3"/>
      <pageSetup orientation="portrait" r:id="rId8"/>
    </customSheetView>
    <customSheetView guid="{D65E0E17-9A53-4B36-ADDE-FDFBD878E6A1}" topLeftCell="B1">
      <selection activeCell="M14" sqref="M14"/>
      <pageMargins left="0.7" right="0.7" top="0.75" bottom="0.75" header="0.3" footer="0.3"/>
      <pageSetup orientation="portrait" r:id="rId9"/>
    </customSheetView>
    <customSheetView guid="{BFB0E08A-7D07-48F2-93C4-BE631A8642F6}" topLeftCell="B1">
      <selection activeCell="M14" sqref="M14"/>
      <pageMargins left="0.7" right="0.7" top="0.75" bottom="0.75" header="0.3" footer="0.3"/>
      <pageSetup orientation="portrait" r:id="rId10"/>
    </customSheetView>
    <customSheetView guid="{E19D3675-E478-4A54-8E7A-94A199F67811}" topLeftCell="B13">
      <selection activeCell="M14" sqref="M14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38"/>
  <sheetViews>
    <sheetView workbookViewId="0">
      <selection activeCell="E30" sqref="E30"/>
    </sheetView>
  </sheetViews>
  <sheetFormatPr defaultColWidth="9.140625" defaultRowHeight="15"/>
  <cols>
    <col min="1" max="1" width="6.42578125" style="100" bestFit="1" customWidth="1"/>
    <col min="2" max="2" width="37.140625" style="100" bestFit="1" customWidth="1"/>
    <col min="3" max="3" width="14.140625" style="24" hidden="1" customWidth="1"/>
    <col min="4" max="4" width="7.5703125" style="104" hidden="1" customWidth="1"/>
    <col min="5" max="5" width="13.85546875" style="123" hidden="1" customWidth="1"/>
    <col min="6" max="6" width="7.85546875" style="104" hidden="1" customWidth="1"/>
    <col min="7" max="7" width="14.42578125" style="123" hidden="1" customWidth="1"/>
    <col min="8" max="8" width="7.85546875" style="104" hidden="1" customWidth="1"/>
    <col min="9" max="9" width="15.42578125" style="24" hidden="1" customWidth="1"/>
    <col min="10" max="10" width="13.5703125" style="104" hidden="1" customWidth="1"/>
    <col min="11" max="11" width="13.7109375" style="123" hidden="1" customWidth="1"/>
    <col min="12" max="12" width="7.5703125" style="104" hidden="1" customWidth="1"/>
    <col min="13" max="13" width="14.28515625" style="24" hidden="1" customWidth="1"/>
    <col min="14" max="14" width="7.5703125" style="104" hidden="1" customWidth="1"/>
    <col min="15" max="15" width="13.5703125" style="24" hidden="1" customWidth="1"/>
    <col min="16" max="16" width="7.5703125" style="104" hidden="1" customWidth="1"/>
    <col min="17" max="17" width="14" style="24" hidden="1" customWidth="1"/>
    <col min="18" max="18" width="7.5703125" style="104" hidden="1" customWidth="1"/>
    <col min="19" max="19" width="13.5703125" style="24" hidden="1" customWidth="1"/>
    <col min="20" max="20" width="7.5703125" style="104" hidden="1" customWidth="1"/>
    <col min="21" max="21" width="13.5703125" style="123" hidden="1" customWidth="1"/>
    <col min="22" max="22" width="7.5703125" style="104" hidden="1" customWidth="1"/>
    <col min="23" max="23" width="12.140625" style="100" hidden="1" customWidth="1"/>
    <col min="24" max="24" width="7.5703125" style="104" hidden="1" customWidth="1"/>
    <col min="25" max="25" width="13.5703125" style="123" hidden="1" customWidth="1"/>
    <col min="26" max="26" width="7.5703125" style="104" hidden="1" customWidth="1"/>
    <col min="27" max="27" width="13.28515625" style="100" bestFit="1" customWidth="1"/>
    <col min="28" max="28" width="9.7109375" style="155" customWidth="1"/>
    <col min="29" max="29" width="12.85546875" style="100" customWidth="1"/>
    <col min="30" max="30" width="7.5703125" style="155" customWidth="1"/>
    <col min="31" max="31" width="22.5703125" style="100" hidden="1" customWidth="1"/>
    <col min="32" max="32" width="14" style="123" hidden="1" customWidth="1"/>
    <col min="33" max="33" width="57.42578125" style="100" hidden="1" customWidth="1"/>
    <col min="34" max="34" width="14.42578125" style="100" customWidth="1"/>
    <col min="35" max="35" width="9.140625" style="100"/>
    <col min="36" max="36" width="13.28515625" style="283" bestFit="1" customWidth="1"/>
    <col min="37" max="37" width="9.140625" style="100"/>
    <col min="38" max="38" width="14.28515625" style="100" bestFit="1" customWidth="1"/>
    <col min="39" max="40" width="14.28515625" style="100" hidden="1" customWidth="1"/>
    <col min="41" max="41" width="11.5703125" style="5" bestFit="1" customWidth="1"/>
    <col min="42" max="16384" width="9.140625" style="1"/>
  </cols>
  <sheetData>
    <row r="1" spans="1:41">
      <c r="A1" s="643" t="s">
        <v>178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4"/>
      <c r="AE1" s="1"/>
      <c r="AF1" s="63"/>
      <c r="AG1" s="1"/>
      <c r="AH1" s="75"/>
      <c r="AI1" s="75"/>
      <c r="AJ1" s="99"/>
      <c r="AK1" s="1"/>
      <c r="AL1" s="5"/>
      <c r="AM1" s="5"/>
      <c r="AN1" s="5"/>
    </row>
    <row r="2" spans="1:41">
      <c r="A2" s="26"/>
      <c r="B2" s="26"/>
      <c r="C2" s="128" t="s">
        <v>65</v>
      </c>
      <c r="D2" s="74"/>
      <c r="E2" s="645" t="s">
        <v>66</v>
      </c>
      <c r="F2" s="646"/>
      <c r="G2" s="192" t="s">
        <v>81</v>
      </c>
      <c r="H2" s="74"/>
      <c r="I2" s="645" t="s">
        <v>82</v>
      </c>
      <c r="J2" s="646"/>
      <c r="K2" s="645" t="s">
        <v>83</v>
      </c>
      <c r="L2" s="647"/>
      <c r="M2" s="645" t="s">
        <v>84</v>
      </c>
      <c r="N2" s="646"/>
      <c r="O2" s="645" t="s">
        <v>85</v>
      </c>
      <c r="P2" s="647"/>
      <c r="Q2" s="645" t="s">
        <v>86</v>
      </c>
      <c r="R2" s="646"/>
      <c r="S2" s="640" t="s">
        <v>87</v>
      </c>
      <c r="T2" s="640"/>
      <c r="U2" s="645" t="s">
        <v>108</v>
      </c>
      <c r="V2" s="647"/>
      <c r="W2" s="645" t="s">
        <v>109</v>
      </c>
      <c r="X2" s="646"/>
      <c r="Y2" s="640" t="s">
        <v>110</v>
      </c>
      <c r="Z2" s="640"/>
      <c r="AA2" s="641" t="s">
        <v>184</v>
      </c>
      <c r="AB2" s="641"/>
      <c r="AC2" s="642" t="s">
        <v>185</v>
      </c>
      <c r="AD2" s="642"/>
      <c r="AE2" s="89"/>
      <c r="AF2" s="143"/>
      <c r="AG2" s="89"/>
      <c r="AH2" s="642" t="s">
        <v>186</v>
      </c>
      <c r="AI2" s="642"/>
      <c r="AJ2" s="99" t="s">
        <v>173</v>
      </c>
      <c r="AK2" s="1"/>
      <c r="AL2" s="5"/>
      <c r="AM2" s="5"/>
      <c r="AN2" s="5"/>
    </row>
    <row r="3" spans="1:41" ht="15.75" thickBot="1">
      <c r="A3" s="47"/>
      <c r="B3" s="11" t="s">
        <v>70</v>
      </c>
      <c r="C3" s="129" t="s">
        <v>103</v>
      </c>
      <c r="D3" s="69" t="s">
        <v>80</v>
      </c>
      <c r="E3" s="52" t="s">
        <v>172</v>
      </c>
      <c r="F3" s="69" t="s">
        <v>80</v>
      </c>
      <c r="G3" s="77" t="s">
        <v>172</v>
      </c>
      <c r="H3" s="69" t="s">
        <v>80</v>
      </c>
      <c r="I3" s="51" t="s">
        <v>172</v>
      </c>
      <c r="J3" s="69" t="s">
        <v>80</v>
      </c>
      <c r="K3" s="52" t="s">
        <v>172</v>
      </c>
      <c r="L3" s="69" t="s">
        <v>80</v>
      </c>
      <c r="M3" s="51" t="s">
        <v>172</v>
      </c>
      <c r="N3" s="69" t="s">
        <v>80</v>
      </c>
      <c r="O3" s="51" t="s">
        <v>172</v>
      </c>
      <c r="P3" s="69" t="s">
        <v>80</v>
      </c>
      <c r="Q3" s="51" t="s">
        <v>172</v>
      </c>
      <c r="R3" s="69" t="s">
        <v>80</v>
      </c>
      <c r="S3" s="51" t="s">
        <v>172</v>
      </c>
      <c r="T3" s="69" t="s">
        <v>80</v>
      </c>
      <c r="U3" s="52" t="s">
        <v>172</v>
      </c>
      <c r="V3" s="69" t="s">
        <v>80</v>
      </c>
      <c r="W3" s="48" t="s">
        <v>172</v>
      </c>
      <c r="X3" s="69" t="s">
        <v>80</v>
      </c>
      <c r="Y3" s="52" t="s">
        <v>172</v>
      </c>
      <c r="Z3" s="69" t="s">
        <v>80</v>
      </c>
      <c r="AA3" s="220" t="s">
        <v>172</v>
      </c>
      <c r="AB3" s="221" t="s">
        <v>80</v>
      </c>
      <c r="AC3" s="222" t="s">
        <v>172</v>
      </c>
      <c r="AD3" s="223" t="s">
        <v>80</v>
      </c>
      <c r="AE3" s="146" t="s">
        <v>138</v>
      </c>
      <c r="AF3" s="224" t="s">
        <v>133</v>
      </c>
      <c r="AG3" s="146" t="s">
        <v>132</v>
      </c>
      <c r="AH3" s="222" t="s">
        <v>172</v>
      </c>
      <c r="AI3" s="223" t="s">
        <v>80</v>
      </c>
      <c r="AJ3" s="99"/>
      <c r="AK3" s="1"/>
      <c r="AL3" s="5"/>
      <c r="AM3" s="5"/>
      <c r="AN3" s="5"/>
    </row>
    <row r="4" spans="1:41">
      <c r="A4" s="1"/>
      <c r="B4" s="1"/>
      <c r="C4" s="130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69"/>
      <c r="AB4" s="270"/>
      <c r="AC4" s="271"/>
      <c r="AD4" s="270"/>
      <c r="AE4" s="271"/>
      <c r="AF4" s="272"/>
      <c r="AG4" s="271"/>
      <c r="AH4" s="271"/>
      <c r="AI4" s="273"/>
      <c r="AJ4" s="99"/>
      <c r="AK4" s="1"/>
      <c r="AL4" s="5"/>
      <c r="AM4" s="5"/>
      <c r="AN4" s="5"/>
    </row>
    <row r="5" spans="1:41" s="5" customFormat="1">
      <c r="A5" s="90">
        <v>5004</v>
      </c>
      <c r="B5" s="91" t="s">
        <v>72</v>
      </c>
      <c r="C5" s="96">
        <v>253511</v>
      </c>
      <c r="D5" s="95"/>
      <c r="E5" s="94">
        <f>1554415.41/9.38*101%</f>
        <v>167373.08785714285</v>
      </c>
      <c r="F5" s="95"/>
      <c r="G5" s="96">
        <f>1833111.54/9.38*101%</f>
        <v>197381.94620469084</v>
      </c>
      <c r="H5" s="95"/>
      <c r="I5" s="94">
        <f>2013560.2/9.38*101%</f>
        <v>216811.91918976544</v>
      </c>
      <c r="J5" s="94"/>
      <c r="K5" s="96">
        <f>1789595.27/9.38*101%</f>
        <v>192696.29239872069</v>
      </c>
      <c r="L5" s="95"/>
      <c r="M5" s="94">
        <f>1900951.79/9.38*101%</f>
        <v>204686.70659914709</v>
      </c>
      <c r="N5" s="95"/>
      <c r="O5" s="94">
        <f>1980282.19/9.38*101%</f>
        <v>213228.67930703625</v>
      </c>
      <c r="P5" s="95"/>
      <c r="Q5" s="94">
        <f>1688392.57/9.38*101%</f>
        <v>181799.19996801706</v>
      </c>
      <c r="R5" s="95"/>
      <c r="S5" s="94">
        <f>1525079.01/9.38*101%</f>
        <v>164214.26440298505</v>
      </c>
      <c r="T5" s="95"/>
      <c r="U5" s="96">
        <f>2175737.77/9.38*101%</f>
        <v>234274.5360021322</v>
      </c>
      <c r="V5" s="95"/>
      <c r="W5" s="92">
        <f>1455368.8/9.38*101%</f>
        <v>156708.15437100211</v>
      </c>
      <c r="X5" s="95"/>
      <c r="Y5" s="96">
        <f>(2025851+200516)/9.38*101%</f>
        <v>239726.08422174837</v>
      </c>
      <c r="Z5" s="208"/>
      <c r="AA5" s="274">
        <f>C5+E5+G5+I5+K5+M5+O5+Q5+S5+U5+W5+Y5</f>
        <v>2422411.8705223878</v>
      </c>
      <c r="AB5" s="225"/>
      <c r="AC5" s="226">
        <f>2265*365</f>
        <v>826725</v>
      </c>
      <c r="AD5" s="225"/>
      <c r="AE5" s="159"/>
      <c r="AF5" s="227"/>
      <c r="AG5" s="227"/>
      <c r="AH5" s="226">
        <f>2265*365</f>
        <v>826725</v>
      </c>
      <c r="AI5" s="242"/>
      <c r="AJ5" s="284">
        <f>SUM(AA5+AC5+AH5)</f>
        <v>4075861.8705223878</v>
      </c>
      <c r="AL5" s="53"/>
      <c r="AM5" s="53">
        <f>G5*9.4+J5*9.4+K5*9.4+M5*9.4+O5*9.4+Q5*9.4+S5*9.4+U5*9.4+W5*9.4+Y5*9.4</f>
        <v>16776329.11666951</v>
      </c>
      <c r="AN5" s="53" t="e">
        <f>#REF!-AM5</f>
        <v>#REF!</v>
      </c>
      <c r="AO5" s="53"/>
    </row>
    <row r="6" spans="1:41">
      <c r="A6" s="1">
        <v>5005</v>
      </c>
      <c r="B6" s="15" t="s">
        <v>68</v>
      </c>
      <c r="C6" s="130"/>
      <c r="D6" s="49">
        <f t="shared" ref="D6:D11" si="0">C6/C$5</f>
        <v>0</v>
      </c>
      <c r="E6" s="43"/>
      <c r="F6" s="49">
        <f t="shared" ref="F6:F11" si="1">E6/E$5</f>
        <v>0</v>
      </c>
      <c r="G6" s="80"/>
      <c r="H6" s="49">
        <f t="shared" ref="H6:H11" si="2">G6/G$5</f>
        <v>0</v>
      </c>
      <c r="I6" s="18">
        <v>0</v>
      </c>
      <c r="J6" s="49" t="e">
        <f t="shared" ref="J6:J11" si="3">I6/J$5</f>
        <v>#DIV/0!</v>
      </c>
      <c r="K6" s="43">
        <v>0</v>
      </c>
      <c r="L6" s="49">
        <f t="shared" ref="L6:L11" si="4">K6/K$5</f>
        <v>0</v>
      </c>
      <c r="M6" s="18">
        <v>0</v>
      </c>
      <c r="N6" s="49">
        <f t="shared" ref="N6:N11" si="5">M6/M$5</f>
        <v>0</v>
      </c>
      <c r="O6" s="23"/>
      <c r="P6" s="49">
        <f t="shared" ref="P6:P11" si="6">O6/O$5</f>
        <v>0</v>
      </c>
      <c r="Q6" s="23">
        <v>0</v>
      </c>
      <c r="R6" s="49">
        <f t="shared" ref="R6:R11" si="7">Q6/Q$5</f>
        <v>0</v>
      </c>
      <c r="S6" s="18">
        <v>0</v>
      </c>
      <c r="T6" s="49">
        <f t="shared" ref="T6:T11" si="8">S6/S$5</f>
        <v>0</v>
      </c>
      <c r="U6" s="54">
        <v>0</v>
      </c>
      <c r="V6" s="49">
        <f t="shared" ref="V6:V11" si="9">U6/U$5</f>
        <v>0</v>
      </c>
      <c r="W6" s="32">
        <v>0</v>
      </c>
      <c r="X6" s="49">
        <f t="shared" ref="X6:X11" si="10">W6/W$5</f>
        <v>0</v>
      </c>
      <c r="Y6" s="43">
        <v>0</v>
      </c>
      <c r="Z6" s="168">
        <f t="shared" ref="Z6:Z11" si="11">Y6/Y$5</f>
        <v>0</v>
      </c>
      <c r="AA6" s="275">
        <f t="shared" ref="AA6:AA11" si="12">C6+E6+G6+I6+K6+M6+O6+Q6+S6+U6+W6+Y6</f>
        <v>0</v>
      </c>
      <c r="AB6" s="202">
        <f t="shared" ref="AB6:AB11" si="13">AA6/AA$5</f>
        <v>0</v>
      </c>
      <c r="AC6" s="194">
        <v>0</v>
      </c>
      <c r="AD6" s="202">
        <f t="shared" ref="AD6:AD11" si="14">AC6/AC$5</f>
        <v>0</v>
      </c>
      <c r="AE6" s="75"/>
      <c r="AF6" s="158"/>
      <c r="AG6" s="75"/>
      <c r="AH6" s="194">
        <v>0</v>
      </c>
      <c r="AI6" s="243">
        <f t="shared" ref="AI6:AI11" si="15">AH6/AH$5</f>
        <v>0</v>
      </c>
      <c r="AJ6" s="282">
        <f t="shared" ref="AJ6:AJ69" si="16">SUM(AA6+AC6+AH6)</f>
        <v>0</v>
      </c>
      <c r="AK6" s="1"/>
      <c r="AL6" s="53"/>
      <c r="AM6" s="53">
        <f>G6*9.4+I6*9.4+K6*9.4+M6*9.4+O6*9.4+Q6*9.4+S6*9.4+U6*9.4+W6*9.4+Y6*9.4</f>
        <v>0</v>
      </c>
      <c r="AN6" s="53" t="e">
        <f>#REF!-AM6</f>
        <v>#REF!</v>
      </c>
      <c r="AO6" s="53"/>
    </row>
    <row r="7" spans="1:41">
      <c r="A7" s="13">
        <v>5051</v>
      </c>
      <c r="B7" s="115" t="s">
        <v>106</v>
      </c>
      <c r="C7" s="131"/>
      <c r="D7" s="49">
        <f t="shared" si="0"/>
        <v>0</v>
      </c>
      <c r="E7" s="60"/>
      <c r="F7" s="49">
        <f t="shared" si="1"/>
        <v>0</v>
      </c>
      <c r="G7" s="81"/>
      <c r="H7" s="49">
        <f t="shared" si="2"/>
        <v>0</v>
      </c>
      <c r="I7" s="19">
        <v>0</v>
      </c>
      <c r="J7" s="49" t="e">
        <f t="shared" si="3"/>
        <v>#DIV/0!</v>
      </c>
      <c r="K7" s="54">
        <v>0</v>
      </c>
      <c r="L7" s="49">
        <f t="shared" si="4"/>
        <v>0</v>
      </c>
      <c r="M7" s="19">
        <v>0</v>
      </c>
      <c r="N7" s="49">
        <f t="shared" si="5"/>
        <v>0</v>
      </c>
      <c r="O7" s="23">
        <v>0</v>
      </c>
      <c r="P7" s="49">
        <f t="shared" si="6"/>
        <v>0</v>
      </c>
      <c r="Q7" s="23">
        <v>0</v>
      </c>
      <c r="R7" s="49">
        <f t="shared" si="7"/>
        <v>0</v>
      </c>
      <c r="S7" s="23">
        <v>0</v>
      </c>
      <c r="T7" s="49">
        <f t="shared" si="8"/>
        <v>0</v>
      </c>
      <c r="U7" s="54">
        <v>0</v>
      </c>
      <c r="V7" s="49">
        <f t="shared" si="9"/>
        <v>0</v>
      </c>
      <c r="W7" s="32">
        <v>0</v>
      </c>
      <c r="X7" s="49">
        <f t="shared" si="10"/>
        <v>0</v>
      </c>
      <c r="Y7" s="54">
        <v>0</v>
      </c>
      <c r="Z7" s="168">
        <f t="shared" si="11"/>
        <v>0</v>
      </c>
      <c r="AA7" s="275">
        <f t="shared" si="12"/>
        <v>0</v>
      </c>
      <c r="AB7" s="203">
        <f t="shared" si="13"/>
        <v>0</v>
      </c>
      <c r="AC7" s="196">
        <v>0</v>
      </c>
      <c r="AD7" s="203">
        <f t="shared" si="14"/>
        <v>0</v>
      </c>
      <c r="AE7" s="75"/>
      <c r="AF7" s="158"/>
      <c r="AG7" s="75"/>
      <c r="AH7" s="196">
        <v>0</v>
      </c>
      <c r="AI7" s="244">
        <f t="shared" si="15"/>
        <v>0</v>
      </c>
      <c r="AJ7" s="282">
        <f t="shared" si="16"/>
        <v>0</v>
      </c>
      <c r="AK7" s="1"/>
      <c r="AL7" s="53"/>
      <c r="AM7" s="53">
        <f>G7*9.4+I7*9.4+K7*9.4+M7*9.4+O7*9.4+Q7*9.4+S7*9.4+U7*9.4+W7*9.4+Y7*9.4</f>
        <v>0</v>
      </c>
      <c r="AN7" s="53" t="e">
        <f>#REF!-AM7</f>
        <v>#REF!</v>
      </c>
      <c r="AO7" s="53"/>
    </row>
    <row r="8" spans="1:41">
      <c r="A8" s="1">
        <v>5052</v>
      </c>
      <c r="B8" s="1" t="s">
        <v>90</v>
      </c>
      <c r="C8" s="23">
        <v>520</v>
      </c>
      <c r="D8" s="49">
        <f t="shared" si="0"/>
        <v>2.0511930448777371E-3</v>
      </c>
      <c r="E8" s="18"/>
      <c r="F8" s="49">
        <f t="shared" si="1"/>
        <v>0</v>
      </c>
      <c r="G8" s="18"/>
      <c r="H8" s="49">
        <f t="shared" si="2"/>
        <v>0</v>
      </c>
      <c r="I8" s="18"/>
      <c r="J8" s="49" t="e">
        <f t="shared" si="3"/>
        <v>#DIV/0!</v>
      </c>
      <c r="K8" s="18"/>
      <c r="L8" s="49">
        <f t="shared" si="4"/>
        <v>0</v>
      </c>
      <c r="M8" s="18"/>
      <c r="N8" s="49">
        <f t="shared" si="5"/>
        <v>0</v>
      </c>
      <c r="O8" s="18"/>
      <c r="P8" s="49">
        <f t="shared" si="6"/>
        <v>0</v>
      </c>
      <c r="Q8" s="18"/>
      <c r="R8" s="49">
        <f t="shared" si="7"/>
        <v>0</v>
      </c>
      <c r="S8" s="18"/>
      <c r="T8" s="49">
        <f t="shared" si="8"/>
        <v>0</v>
      </c>
      <c r="U8" s="18"/>
      <c r="V8" s="49">
        <f t="shared" si="9"/>
        <v>0</v>
      </c>
      <c r="W8" s="18"/>
      <c r="X8" s="49">
        <f t="shared" si="10"/>
        <v>0</v>
      </c>
      <c r="Y8" s="18"/>
      <c r="Z8" s="168">
        <f t="shared" si="11"/>
        <v>0</v>
      </c>
      <c r="AA8" s="275"/>
      <c r="AB8" s="203">
        <f t="shared" si="13"/>
        <v>0</v>
      </c>
      <c r="AC8" s="204">
        <v>0</v>
      </c>
      <c r="AD8" s="203">
        <f t="shared" si="14"/>
        <v>0</v>
      </c>
      <c r="AE8" s="75"/>
      <c r="AF8" s="158"/>
      <c r="AG8" s="75"/>
      <c r="AH8" s="204">
        <v>0</v>
      </c>
      <c r="AI8" s="244">
        <f t="shared" si="15"/>
        <v>0</v>
      </c>
      <c r="AJ8" s="282">
        <f t="shared" si="16"/>
        <v>0</v>
      </c>
      <c r="AK8" s="1"/>
      <c r="AL8" s="53"/>
      <c r="AM8" s="53">
        <f>G8*9.4+I8*9.4+K8*9.4+M8*9.4+O8*9.4+Q8*9.4+S8*9.4+U8*9.4+W8*9.4+Y8*9.4</f>
        <v>0</v>
      </c>
      <c r="AN8" s="53" t="e">
        <f>#REF!-AM8</f>
        <v>#REF!</v>
      </c>
      <c r="AO8" s="53"/>
    </row>
    <row r="9" spans="1:41">
      <c r="A9" s="1">
        <v>5101</v>
      </c>
      <c r="B9" s="15" t="s">
        <v>47</v>
      </c>
      <c r="C9" s="130"/>
      <c r="D9" s="49">
        <f t="shared" si="0"/>
        <v>0</v>
      </c>
      <c r="E9" s="130">
        <f>E5*1%</f>
        <v>1673.7308785714285</v>
      </c>
      <c r="F9" s="49">
        <f t="shared" si="1"/>
        <v>0.01</v>
      </c>
      <c r="G9" s="130">
        <f>G5*1%</f>
        <v>1973.8194620469085</v>
      </c>
      <c r="H9" s="49">
        <f t="shared" si="2"/>
        <v>0.01</v>
      </c>
      <c r="I9" s="130">
        <f>I5*1%</f>
        <v>2168.1191918976542</v>
      </c>
      <c r="J9" s="49" t="e">
        <f t="shared" si="3"/>
        <v>#DIV/0!</v>
      </c>
      <c r="K9" s="130">
        <f>K5*1%</f>
        <v>1926.962923987207</v>
      </c>
      <c r="L9" s="49">
        <f t="shared" si="4"/>
        <v>0.01</v>
      </c>
      <c r="M9" s="130">
        <f>M5*1%</f>
        <v>2046.867065991471</v>
      </c>
      <c r="N9" s="49">
        <f t="shared" si="5"/>
        <v>0.01</v>
      </c>
      <c r="O9" s="130">
        <f>O5*1%</f>
        <v>2132.2867930703624</v>
      </c>
      <c r="P9" s="49">
        <f t="shared" si="6"/>
        <v>0.01</v>
      </c>
      <c r="Q9" s="130">
        <f>Q5*1%</f>
        <v>1817.9919996801707</v>
      </c>
      <c r="R9" s="49">
        <f t="shared" si="7"/>
        <v>0.01</v>
      </c>
      <c r="S9" s="130">
        <f>S5*1%</f>
        <v>1642.1426440298505</v>
      </c>
      <c r="T9" s="49">
        <f t="shared" si="8"/>
        <v>0.01</v>
      </c>
      <c r="U9" s="130">
        <f>U5*1%</f>
        <v>2342.7453600213221</v>
      </c>
      <c r="V9" s="49">
        <f t="shared" si="9"/>
        <v>0.01</v>
      </c>
      <c r="W9" s="130">
        <f>W5*1%</f>
        <v>1567.0815437100212</v>
      </c>
      <c r="X9" s="49">
        <f t="shared" si="10"/>
        <v>0.01</v>
      </c>
      <c r="Y9" s="130">
        <f>Y5*1%</f>
        <v>2397.260842217484</v>
      </c>
      <c r="Z9" s="168">
        <f t="shared" si="11"/>
        <v>0.01</v>
      </c>
      <c r="AA9" s="275">
        <f t="shared" si="12"/>
        <v>21689.008705223881</v>
      </c>
      <c r="AB9" s="203">
        <f t="shared" si="13"/>
        <v>8.9534768918328889E-3</v>
      </c>
      <c r="AC9" s="194">
        <f>AC5*0.9%</f>
        <v>7440.5250000000005</v>
      </c>
      <c r="AD9" s="203">
        <f t="shared" si="14"/>
        <v>9.0000000000000011E-3</v>
      </c>
      <c r="AE9" s="75"/>
      <c r="AF9" s="158"/>
      <c r="AG9" s="75"/>
      <c r="AH9" s="194">
        <f>AH5*0.9%</f>
        <v>7440.5250000000005</v>
      </c>
      <c r="AI9" s="244">
        <f t="shared" si="15"/>
        <v>9.0000000000000011E-3</v>
      </c>
      <c r="AJ9" s="282">
        <f t="shared" si="16"/>
        <v>36570.058705223884</v>
      </c>
      <c r="AK9" s="1"/>
      <c r="AL9" s="53"/>
      <c r="AM9" s="53">
        <f>G9*9.4+I9*9.4+K9*9.4+M9*9.4+O9*9.4+Q9*9.4+S9*9.4+U9*9.4+W9*9.4+Y9*9.4</f>
        <v>188143.61157053304</v>
      </c>
      <c r="AN9" s="53" t="e">
        <f>#REF!-AM9</f>
        <v>#REF!</v>
      </c>
      <c r="AO9" s="53"/>
    </row>
    <row r="10" spans="1:41">
      <c r="A10" s="1">
        <v>5102</v>
      </c>
      <c r="B10" s="1" t="s">
        <v>177</v>
      </c>
      <c r="C10" s="130"/>
      <c r="D10" s="49">
        <f t="shared" si="0"/>
        <v>0</v>
      </c>
      <c r="E10" s="43"/>
      <c r="F10" s="49">
        <f t="shared" si="1"/>
        <v>0</v>
      </c>
      <c r="G10" s="80"/>
      <c r="H10" s="49">
        <f t="shared" si="2"/>
        <v>0</v>
      </c>
      <c r="I10" s="18"/>
      <c r="J10" s="49" t="e">
        <f t="shared" si="3"/>
        <v>#DIV/0!</v>
      </c>
      <c r="K10" s="43"/>
      <c r="L10" s="49">
        <f t="shared" si="4"/>
        <v>0</v>
      </c>
      <c r="M10" s="18"/>
      <c r="N10" s="49">
        <f t="shared" si="5"/>
        <v>0</v>
      </c>
      <c r="O10" s="18">
        <f>O5*9%</f>
        <v>19190.58113763326</v>
      </c>
      <c r="P10" s="49">
        <f t="shared" si="6"/>
        <v>0.09</v>
      </c>
      <c r="Q10" s="18"/>
      <c r="R10" s="49">
        <f t="shared" si="7"/>
        <v>0</v>
      </c>
      <c r="S10" s="18"/>
      <c r="T10" s="49">
        <f t="shared" si="8"/>
        <v>0</v>
      </c>
      <c r="U10" s="43"/>
      <c r="V10" s="49">
        <f t="shared" si="9"/>
        <v>0</v>
      </c>
      <c r="W10" s="33"/>
      <c r="X10" s="49">
        <f t="shared" si="10"/>
        <v>0</v>
      </c>
      <c r="Y10" s="18">
        <v>21377</v>
      </c>
      <c r="Z10" s="168">
        <f t="shared" si="11"/>
        <v>8.9172607434016726E-2</v>
      </c>
      <c r="AA10" s="275">
        <f>C10+E10+G10+I10+K10+M10+O10+Q10+S10+U10+W10+Y10+520</f>
        <v>41087.581137633257</v>
      </c>
      <c r="AB10" s="203">
        <f t="shared" si="13"/>
        <v>1.6961434856564178E-2</v>
      </c>
      <c r="AC10" s="204">
        <f>AC5*1.7%</f>
        <v>14054.325000000001</v>
      </c>
      <c r="AD10" s="203">
        <f t="shared" si="14"/>
        <v>1.7000000000000001E-2</v>
      </c>
      <c r="AE10" s="75"/>
      <c r="AF10" s="158"/>
      <c r="AG10" s="75"/>
      <c r="AH10" s="204">
        <f>AH5*1.7%</f>
        <v>14054.325000000001</v>
      </c>
      <c r="AI10" s="244">
        <f t="shared" si="15"/>
        <v>1.7000000000000001E-2</v>
      </c>
      <c r="AJ10" s="282">
        <f t="shared" si="16"/>
        <v>69196.231137633251</v>
      </c>
      <c r="AK10" s="1"/>
      <c r="AL10" s="53"/>
      <c r="AM10" s="53"/>
      <c r="AN10" s="53"/>
      <c r="AO10" s="53"/>
    </row>
    <row r="11" spans="1:41">
      <c r="A11" s="1">
        <v>5103</v>
      </c>
      <c r="B11" s="15" t="s">
        <v>64</v>
      </c>
      <c r="C11" s="130"/>
      <c r="D11" s="49">
        <f t="shared" si="0"/>
        <v>0</v>
      </c>
      <c r="E11" s="43"/>
      <c r="F11" s="49">
        <f t="shared" si="1"/>
        <v>0</v>
      </c>
      <c r="G11" s="80"/>
      <c r="H11" s="49">
        <f t="shared" si="2"/>
        <v>0</v>
      </c>
      <c r="I11" s="18"/>
      <c r="J11" s="49" t="e">
        <f t="shared" si="3"/>
        <v>#DIV/0!</v>
      </c>
      <c r="K11" s="43"/>
      <c r="L11" s="49">
        <f t="shared" si="4"/>
        <v>0</v>
      </c>
      <c r="M11" s="18"/>
      <c r="N11" s="49">
        <f t="shared" si="5"/>
        <v>0</v>
      </c>
      <c r="O11" s="18"/>
      <c r="P11" s="49">
        <f t="shared" si="6"/>
        <v>0</v>
      </c>
      <c r="Q11" s="18"/>
      <c r="R11" s="49">
        <f t="shared" si="7"/>
        <v>0</v>
      </c>
      <c r="S11" s="18"/>
      <c r="T11" s="49">
        <f t="shared" si="8"/>
        <v>0</v>
      </c>
      <c r="U11" s="43"/>
      <c r="V11" s="49">
        <f t="shared" si="9"/>
        <v>0</v>
      </c>
      <c r="W11" s="33"/>
      <c r="X11" s="49">
        <f t="shared" si="10"/>
        <v>0</v>
      </c>
      <c r="Y11" s="43"/>
      <c r="Z11" s="168">
        <f t="shared" si="11"/>
        <v>0</v>
      </c>
      <c r="AA11" s="275">
        <f t="shared" si="12"/>
        <v>0</v>
      </c>
      <c r="AB11" s="203">
        <f t="shared" si="13"/>
        <v>0</v>
      </c>
      <c r="AC11" s="204">
        <v>0</v>
      </c>
      <c r="AD11" s="203">
        <f t="shared" si="14"/>
        <v>0</v>
      </c>
      <c r="AE11" s="75"/>
      <c r="AF11" s="158"/>
      <c r="AG11" s="75"/>
      <c r="AH11" s="204">
        <v>0</v>
      </c>
      <c r="AI11" s="244">
        <f t="shared" si="15"/>
        <v>0</v>
      </c>
      <c r="AJ11" s="282">
        <f t="shared" si="16"/>
        <v>0</v>
      </c>
      <c r="AK11" s="1"/>
      <c r="AL11" s="53"/>
      <c r="AM11" s="53">
        <f t="shared" ref="AM11:AM74" si="17">G11*9.4+I11*9.4+K11*9.4+M11*9.4+O11*9.4+Q11*9.4+S11*9.4+U11*9.4+W11*9.4+Y11*9.4</f>
        <v>0</v>
      </c>
      <c r="AN11" s="53" t="e">
        <f>#REF!-AM11</f>
        <v>#REF!</v>
      </c>
      <c r="AO11" s="53"/>
    </row>
    <row r="12" spans="1:41" ht="15.75" thickBot="1">
      <c r="A12" s="6">
        <v>5149</v>
      </c>
      <c r="B12" s="116" t="s">
        <v>67</v>
      </c>
      <c r="C12" s="55">
        <f>C5+C6-C7-C8-C9-C10+C11</f>
        <v>252991</v>
      </c>
      <c r="D12" s="88">
        <v>1</v>
      </c>
      <c r="E12" s="55">
        <f>E5+E6-E7-E8-E9-E10+E11</f>
        <v>165699.35697857142</v>
      </c>
      <c r="F12" s="88">
        <v>1</v>
      </c>
      <c r="G12" s="55">
        <f>G5+G6-G7-G8-G9-G10+G11</f>
        <v>195408.12674264394</v>
      </c>
      <c r="H12" s="88">
        <v>1</v>
      </c>
      <c r="I12" s="55">
        <f>I5+I6-I7-I8-I9-I10+I11</f>
        <v>214643.79999786778</v>
      </c>
      <c r="J12" s="88">
        <v>1</v>
      </c>
      <c r="K12" s="55">
        <f>K5+K6-K7-K8-K9-K10+K11</f>
        <v>190769.32947473347</v>
      </c>
      <c r="L12" s="88">
        <v>1</v>
      </c>
      <c r="M12" s="55">
        <f>M5+M6-M7-M8-M9-M10+M11</f>
        <v>202639.83953315561</v>
      </c>
      <c r="N12" s="88">
        <v>1</v>
      </c>
      <c r="O12" s="55">
        <f>O5+O6-O7-O8-O9-O10+O11</f>
        <v>191905.81137633263</v>
      </c>
      <c r="P12" s="88">
        <v>1</v>
      </c>
      <c r="Q12" s="55">
        <f>Q5+Q6-Q7-Q8-Q9-Q10+Q11</f>
        <v>179981.20796833688</v>
      </c>
      <c r="R12" s="88">
        <v>1</v>
      </c>
      <c r="S12" s="55">
        <f>S5+S6-S7-S8-S9-S10+S11</f>
        <v>162572.12175895521</v>
      </c>
      <c r="T12" s="88">
        <v>1</v>
      </c>
      <c r="U12" s="55">
        <f>U5+U6-U7-U8-U9-U10+U11</f>
        <v>231931.79064211086</v>
      </c>
      <c r="V12" s="88">
        <v>1</v>
      </c>
      <c r="W12" s="55">
        <f>W5+W6-W7-W8-W9-W10+W11</f>
        <v>155141.07282729208</v>
      </c>
      <c r="X12" s="88">
        <v>1</v>
      </c>
      <c r="Y12" s="55">
        <f>Y5+Y6-Y7-Y8-Y9-Y10+Y11</f>
        <v>215951.82337953089</v>
      </c>
      <c r="Z12" s="209">
        <v>1</v>
      </c>
      <c r="AA12" s="200">
        <f>AA5+AA6-AA7-AA8-AA9-AA10+AA11</f>
        <v>2359635.2806795305</v>
      </c>
      <c r="AB12" s="228">
        <v>1</v>
      </c>
      <c r="AC12" s="199">
        <f>AC5-AC6-AC7-AC8-AC10-AC9</f>
        <v>805230.15</v>
      </c>
      <c r="AD12" s="228">
        <v>1</v>
      </c>
      <c r="AE12" s="158" t="s">
        <v>136</v>
      </c>
      <c r="AF12" s="158"/>
      <c r="AG12" s="75" t="s">
        <v>170</v>
      </c>
      <c r="AH12" s="199">
        <f>AH5+AH6-AH7-AH8-AH9-AH10+AH11</f>
        <v>805230.15</v>
      </c>
      <c r="AI12" s="245">
        <v>1</v>
      </c>
      <c r="AJ12" s="286">
        <f t="shared" si="16"/>
        <v>3970095.5806795303</v>
      </c>
      <c r="AK12" s="1"/>
      <c r="AL12" s="53"/>
      <c r="AM12" s="53">
        <f t="shared" si="17"/>
        <v>18244882.282789018</v>
      </c>
      <c r="AN12" s="53" t="e">
        <f>#REF!-AM12</f>
        <v>#REF!</v>
      </c>
      <c r="AO12" s="53"/>
    </row>
    <row r="13" spans="1:41" ht="15.75" thickTop="1">
      <c r="A13" s="1">
        <v>5151</v>
      </c>
      <c r="B13" s="15" t="s">
        <v>48</v>
      </c>
      <c r="C13" s="130"/>
      <c r="D13" s="70"/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75">
        <f>C13+E13+G13+I13+K13+M13+O13+Q13+S13+U13+W13+Y13</f>
        <v>0</v>
      </c>
      <c r="AB13" s="202"/>
      <c r="AC13" s="194">
        <v>0</v>
      </c>
      <c r="AD13" s="202"/>
      <c r="AE13" s="75"/>
      <c r="AF13" s="158"/>
      <c r="AG13" s="75"/>
      <c r="AH13" s="194">
        <v>0</v>
      </c>
      <c r="AI13" s="243"/>
      <c r="AJ13" s="282">
        <f t="shared" si="16"/>
        <v>0</v>
      </c>
      <c r="AK13" s="1"/>
      <c r="AL13" s="53"/>
      <c r="AM13" s="53">
        <f t="shared" si="17"/>
        <v>0</v>
      </c>
      <c r="AN13" s="53" t="e">
        <f>#REF!-AM13</f>
        <v>#REF!</v>
      </c>
      <c r="AO13" s="53"/>
    </row>
    <row r="14" spans="1:41">
      <c r="A14" s="1">
        <v>5152</v>
      </c>
      <c r="B14" s="15" t="s">
        <v>49</v>
      </c>
      <c r="C14" s="130"/>
      <c r="D14" s="70"/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75">
        <f>C14+E14+G14+I14+K14+M14+O14+Q14+S14+U14+W14+Y14</f>
        <v>0</v>
      </c>
      <c r="AB14" s="202"/>
      <c r="AC14" s="194">
        <v>0</v>
      </c>
      <c r="AD14" s="202"/>
      <c r="AE14" s="75"/>
      <c r="AF14" s="158"/>
      <c r="AG14" s="75"/>
      <c r="AH14" s="194">
        <v>0</v>
      </c>
      <c r="AI14" s="243"/>
      <c r="AJ14" s="282">
        <f t="shared" si="16"/>
        <v>0</v>
      </c>
      <c r="AK14" s="1"/>
      <c r="AL14" s="53"/>
      <c r="AM14" s="53">
        <f t="shared" si="17"/>
        <v>0</v>
      </c>
      <c r="AN14" s="53" t="e">
        <f>#REF!-AM14</f>
        <v>#REF!</v>
      </c>
      <c r="AO14" s="53"/>
    </row>
    <row r="15" spans="1:41" ht="15.75" thickBot="1">
      <c r="A15" s="35">
        <v>5198</v>
      </c>
      <c r="B15" s="117" t="s">
        <v>93</v>
      </c>
      <c r="C15" s="132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26">
        <f>I13+I14</f>
        <v>0</v>
      </c>
      <c r="J15" s="71"/>
      <c r="K15" s="56">
        <f>K13+K14</f>
        <v>0</v>
      </c>
      <c r="L15" s="71"/>
      <c r="M15" s="126">
        <f>M13+M14</f>
        <v>0</v>
      </c>
      <c r="N15" s="71"/>
      <c r="O15" s="126">
        <f>O13+O14</f>
        <v>0</v>
      </c>
      <c r="P15" s="71"/>
      <c r="Q15" s="126">
        <f>Q13+Q14</f>
        <v>0</v>
      </c>
      <c r="R15" s="71"/>
      <c r="S15" s="126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10"/>
      <c r="AA15" s="276">
        <f>AA13+AA14</f>
        <v>0</v>
      </c>
      <c r="AB15" s="230"/>
      <c r="AC15" s="231">
        <v>0</v>
      </c>
      <c r="AD15" s="230"/>
      <c r="AE15" s="75"/>
      <c r="AF15" s="158"/>
      <c r="AG15" s="75"/>
      <c r="AH15" s="231">
        <v>0</v>
      </c>
      <c r="AI15" s="246"/>
      <c r="AJ15" s="282">
        <f t="shared" si="16"/>
        <v>0</v>
      </c>
      <c r="AK15" s="1"/>
      <c r="AL15" s="53"/>
      <c r="AM15" s="53">
        <f t="shared" si="17"/>
        <v>0</v>
      </c>
      <c r="AN15" s="53" t="e">
        <f>#REF!-AM15</f>
        <v>#REF!</v>
      </c>
      <c r="AO15" s="53"/>
    </row>
    <row r="16" spans="1:41" ht="16.5" thickTop="1" thickBot="1">
      <c r="A16" s="37">
        <v>5199</v>
      </c>
      <c r="B16" s="118" t="s">
        <v>71</v>
      </c>
      <c r="C16" s="133">
        <f>C12+C15</f>
        <v>252991</v>
      </c>
      <c r="D16" s="39">
        <f>C16/C12</f>
        <v>1</v>
      </c>
      <c r="E16" s="57">
        <f>E12+E15</f>
        <v>165699.35697857142</v>
      </c>
      <c r="F16" s="39">
        <f>E16/E12</f>
        <v>1</v>
      </c>
      <c r="G16" s="84">
        <f>G12+G15</f>
        <v>195408.12674264394</v>
      </c>
      <c r="H16" s="39">
        <f>G16/G12</f>
        <v>1</v>
      </c>
      <c r="I16" s="127">
        <f>I12+I15</f>
        <v>214643.79999786778</v>
      </c>
      <c r="J16" s="39">
        <f>I16/I12</f>
        <v>1</v>
      </c>
      <c r="K16" s="57">
        <f>K12+K15</f>
        <v>190769.32947473347</v>
      </c>
      <c r="L16" s="39">
        <f>K16/K12</f>
        <v>1</v>
      </c>
      <c r="M16" s="127">
        <f>M12+M15</f>
        <v>202639.83953315561</v>
      </c>
      <c r="N16" s="39">
        <f>M16/M12</f>
        <v>1</v>
      </c>
      <c r="O16" s="127">
        <f>O12+O15</f>
        <v>191905.81137633263</v>
      </c>
      <c r="P16" s="39">
        <f>O16/O12</f>
        <v>1</v>
      </c>
      <c r="Q16" s="127">
        <f>Q12+Q15</f>
        <v>179981.20796833688</v>
      </c>
      <c r="R16" s="39">
        <f>Q16/Q12</f>
        <v>1</v>
      </c>
      <c r="S16" s="127">
        <f>S12+S15</f>
        <v>162572.12175895521</v>
      </c>
      <c r="T16" s="39">
        <f>S16/S12</f>
        <v>1</v>
      </c>
      <c r="U16" s="57">
        <f>U12+U15</f>
        <v>231931.79064211086</v>
      </c>
      <c r="V16" s="39">
        <f>U16/U12</f>
        <v>1</v>
      </c>
      <c r="W16" s="38">
        <f>W12+W15</f>
        <v>155141.07282729208</v>
      </c>
      <c r="X16" s="39">
        <f>W16/W12</f>
        <v>1</v>
      </c>
      <c r="Y16" s="57">
        <f>Y12+Y15</f>
        <v>215951.82337953089</v>
      </c>
      <c r="Z16" s="211">
        <f>Y16/Y12</f>
        <v>1</v>
      </c>
      <c r="AA16" s="277">
        <f>AA12+AA15</f>
        <v>2359635.2806795305</v>
      </c>
      <c r="AB16" s="233">
        <f>AA16/AA12</f>
        <v>1</v>
      </c>
      <c r="AC16" s="232">
        <f>AC12+AC15</f>
        <v>805230.15</v>
      </c>
      <c r="AD16" s="233">
        <f>AC16/AC12</f>
        <v>1</v>
      </c>
      <c r="AE16" s="75"/>
      <c r="AF16" s="158"/>
      <c r="AG16" s="75"/>
      <c r="AH16" s="232">
        <f>AH12+AH15</f>
        <v>805230.15</v>
      </c>
      <c r="AI16" s="247">
        <f>AH16/AH12</f>
        <v>1</v>
      </c>
      <c r="AJ16" s="287">
        <f t="shared" si="16"/>
        <v>3970095.5806795303</v>
      </c>
      <c r="AK16" s="1"/>
      <c r="AL16" s="53"/>
      <c r="AM16" s="53">
        <f t="shared" si="17"/>
        <v>18244882.282789018</v>
      </c>
      <c r="AN16" s="53" t="e">
        <f>#REF!-AM16</f>
        <v>#REF!</v>
      </c>
      <c r="AO16" s="53"/>
    </row>
    <row r="17" spans="1:41" ht="15.75" thickTop="1">
      <c r="A17" s="12">
        <v>5502</v>
      </c>
      <c r="B17" s="14" t="s">
        <v>50</v>
      </c>
      <c r="C17" s="61">
        <v>152937.43599999999</v>
      </c>
      <c r="D17" s="49">
        <f>C17/C12</f>
        <v>0.60451729903435292</v>
      </c>
      <c r="E17" s="24">
        <f>E12*57.15%</f>
        <v>94697.182513253574</v>
      </c>
      <c r="F17" s="49">
        <f>E17/E12</f>
        <v>0.57150000000000001</v>
      </c>
      <c r="G17" s="80">
        <f>G12*49.66%</f>
        <v>97039.675740396982</v>
      </c>
      <c r="H17" s="49">
        <f>G17/G12</f>
        <v>0.49659999999999999</v>
      </c>
      <c r="I17" s="24">
        <f>I12*52.1%</f>
        <v>111829.41979888912</v>
      </c>
      <c r="J17" s="49">
        <f>I17/I12</f>
        <v>0.52100000000000002</v>
      </c>
      <c r="K17" s="61">
        <f>K12*47.05%</f>
        <v>89756.96951786209</v>
      </c>
      <c r="L17" s="49">
        <f>K17/K12</f>
        <v>0.47049999999999997</v>
      </c>
      <c r="M17" s="24">
        <f>M12*44.09%</f>
        <v>89343.905250168318</v>
      </c>
      <c r="N17" s="49">
        <f>M17/M12</f>
        <v>0.44090000000000007</v>
      </c>
      <c r="O17" s="24">
        <f>O12*48.44%</f>
        <v>92959.175030695522</v>
      </c>
      <c r="P17" s="49">
        <f>O17/O12</f>
        <v>0.4844</v>
      </c>
      <c r="Q17" s="24">
        <f>Q12*47.99%</f>
        <v>86372.981704004866</v>
      </c>
      <c r="R17" s="49">
        <f>Q17/Q12</f>
        <v>0.47989999999999999</v>
      </c>
      <c r="S17" s="24">
        <f>S12*44.22%</f>
        <v>71889.392241809997</v>
      </c>
      <c r="T17" s="49">
        <f>S17/S12</f>
        <v>0.44220000000000004</v>
      </c>
      <c r="U17" s="80">
        <f>U12*51.8%</f>
        <v>120140.66755261343</v>
      </c>
      <c r="V17" s="49">
        <f>U17/U12</f>
        <v>0.51800000000000002</v>
      </c>
      <c r="W17" s="61">
        <f>W12*45.17%</f>
        <v>70077.222596087828</v>
      </c>
      <c r="X17" s="49">
        <f>W17/W12</f>
        <v>0.45169999999999993</v>
      </c>
      <c r="Y17" s="61">
        <f>Y12*47.82%</f>
        <v>103268.16194009168</v>
      </c>
      <c r="Z17" s="168">
        <f>Y17/Y12</f>
        <v>0.47820000000000007</v>
      </c>
      <c r="AA17" s="275">
        <f>C17+E17+G17+I17+K17+M17+O17+Q17+S17+U17+W17+Y17</f>
        <v>1180312.1898858733</v>
      </c>
      <c r="AB17" s="203">
        <f>AA17/AA12</f>
        <v>0.50020958728247433</v>
      </c>
      <c r="AC17" s="205">
        <f>AC12*50%</f>
        <v>402615.07500000001</v>
      </c>
      <c r="AD17" s="203">
        <f>AC17/AC12</f>
        <v>0.5</v>
      </c>
      <c r="AE17" s="75" t="s">
        <v>137</v>
      </c>
      <c r="AF17" s="160">
        <v>0.50339999999999996</v>
      </c>
      <c r="AG17" s="75" t="s">
        <v>170</v>
      </c>
      <c r="AH17" s="205">
        <f>AH12*50%</f>
        <v>402615.07500000001</v>
      </c>
      <c r="AI17" s="244">
        <f>AH17/AH12</f>
        <v>0.5</v>
      </c>
      <c r="AJ17" s="282">
        <f t="shared" si="16"/>
        <v>1985542.3398858733</v>
      </c>
      <c r="AK17" s="1"/>
      <c r="AL17" s="53"/>
      <c r="AM17" s="53">
        <f t="shared" si="17"/>
        <v>8767169.1709026266</v>
      </c>
      <c r="AN17" s="53" t="e">
        <f>#REF!-AM17</f>
        <v>#REF!</v>
      </c>
      <c r="AO17" s="53"/>
    </row>
    <row r="18" spans="1:41">
      <c r="A18" s="3">
        <v>5503</v>
      </c>
      <c r="B18" s="112" t="s">
        <v>51</v>
      </c>
      <c r="C18" s="130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75">
        <f>C18+E18+G18+I18+K18+M18+O18+Q18+S18+U18+W18+Y18</f>
        <v>0</v>
      </c>
      <c r="AB18" s="202"/>
      <c r="AC18" s="194">
        <v>0</v>
      </c>
      <c r="AD18" s="202"/>
      <c r="AE18" s="75"/>
      <c r="AF18" s="158"/>
      <c r="AG18" s="75"/>
      <c r="AH18" s="194">
        <v>0</v>
      </c>
      <c r="AI18" s="243"/>
      <c r="AJ18" s="282">
        <f t="shared" si="16"/>
        <v>0</v>
      </c>
      <c r="AK18" s="1"/>
      <c r="AL18" s="53"/>
      <c r="AM18" s="53">
        <f t="shared" si="17"/>
        <v>0</v>
      </c>
      <c r="AN18" s="53" t="e">
        <f>#REF!-AM18</f>
        <v>#REF!</v>
      </c>
      <c r="AO18" s="53"/>
    </row>
    <row r="19" spans="1:41">
      <c r="A19" s="3">
        <v>5504</v>
      </c>
      <c r="B19" s="112" t="s">
        <v>52</v>
      </c>
      <c r="C19" s="130">
        <v>0.47099999999999997</v>
      </c>
      <c r="D19" s="49">
        <f>C19/C12</f>
        <v>1.8617263064694001E-6</v>
      </c>
      <c r="E19" s="43"/>
      <c r="F19" s="49">
        <f>E19/E12</f>
        <v>0</v>
      </c>
      <c r="G19" s="80"/>
      <c r="H19" s="49">
        <f>G19/G12</f>
        <v>0</v>
      </c>
      <c r="I19" s="18"/>
      <c r="J19" s="49">
        <f>I19/I12</f>
        <v>0</v>
      </c>
      <c r="K19" s="43"/>
      <c r="L19" s="49">
        <f>K19/K12</f>
        <v>0</v>
      </c>
      <c r="M19" s="18"/>
      <c r="N19" s="49">
        <f>M19/M12</f>
        <v>0</v>
      </c>
      <c r="O19" s="18"/>
      <c r="P19" s="49">
        <f>O19/O12</f>
        <v>0</v>
      </c>
      <c r="Q19" s="18"/>
      <c r="R19" s="49">
        <f>Q19/Q12</f>
        <v>0</v>
      </c>
      <c r="S19" s="18"/>
      <c r="T19" s="49">
        <f>S19/S12</f>
        <v>0</v>
      </c>
      <c r="U19" s="43"/>
      <c r="V19" s="49">
        <f>U19/U12</f>
        <v>0</v>
      </c>
      <c r="W19" s="33"/>
      <c r="X19" s="49">
        <f>W19/W12</f>
        <v>0</v>
      </c>
      <c r="Y19" s="43"/>
      <c r="Z19" s="168">
        <f>Y19/Y12</f>
        <v>0</v>
      </c>
      <c r="AA19" s="275"/>
      <c r="AB19" s="203">
        <f>AA19/AA12</f>
        <v>0</v>
      </c>
      <c r="AC19" s="194">
        <v>0</v>
      </c>
      <c r="AD19" s="203">
        <f>AC19/AC12</f>
        <v>0</v>
      </c>
      <c r="AE19" s="75"/>
      <c r="AF19" s="158"/>
      <c r="AG19" s="75"/>
      <c r="AH19" s="194">
        <v>0</v>
      </c>
      <c r="AI19" s="244">
        <f>AH19/AH12</f>
        <v>0</v>
      </c>
      <c r="AJ19" s="282">
        <f t="shared" si="16"/>
        <v>0</v>
      </c>
      <c r="AK19" s="1"/>
      <c r="AL19" s="53"/>
      <c r="AM19" s="53">
        <f t="shared" si="17"/>
        <v>0</v>
      </c>
      <c r="AN19" s="53" t="e">
        <f>#REF!-AM19</f>
        <v>#REF!</v>
      </c>
      <c r="AO19" s="53"/>
    </row>
    <row r="20" spans="1:41">
      <c r="A20" s="3">
        <v>5505</v>
      </c>
      <c r="B20" s="112" t="s">
        <v>53</v>
      </c>
      <c r="C20" s="130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75">
        <f>C20+E20+G20+I20+K20+M20+O20+Q20+S20+U20+W20+Y20</f>
        <v>0</v>
      </c>
      <c r="AB20" s="202"/>
      <c r="AC20" s="194">
        <v>0</v>
      </c>
      <c r="AD20" s="202"/>
      <c r="AE20" s="75"/>
      <c r="AF20" s="158"/>
      <c r="AG20" s="75"/>
      <c r="AH20" s="194">
        <v>0</v>
      </c>
      <c r="AI20" s="243"/>
      <c r="AJ20" s="282">
        <f t="shared" si="16"/>
        <v>0</v>
      </c>
      <c r="AK20" s="1"/>
      <c r="AL20" s="53"/>
      <c r="AM20" s="53">
        <f t="shared" si="17"/>
        <v>0</v>
      </c>
      <c r="AN20" s="53" t="e">
        <f>#REF!-AM20</f>
        <v>#REF!</v>
      </c>
      <c r="AO20" s="53"/>
    </row>
    <row r="21" spans="1:41" ht="15.75" thickBot="1">
      <c r="A21" s="7">
        <v>5599</v>
      </c>
      <c r="B21" s="119" t="s">
        <v>94</v>
      </c>
      <c r="C21" s="27">
        <f>SUM(C17:C20)</f>
        <v>152937.90699999998</v>
      </c>
      <c r="D21" s="68">
        <f>C21/C12</f>
        <v>0.60451916076065937</v>
      </c>
      <c r="E21" s="55">
        <f>SUM(E17:E20)</f>
        <v>94697.182513253574</v>
      </c>
      <c r="F21" s="68">
        <f>E21/E12</f>
        <v>0.57150000000000001</v>
      </c>
      <c r="G21" s="82">
        <f>SUM(G17:G20)</f>
        <v>97039.675740396982</v>
      </c>
      <c r="H21" s="68">
        <f>G21/G12</f>
        <v>0.49659999999999999</v>
      </c>
      <c r="I21" s="20">
        <f>SUM(I17:I20)</f>
        <v>111829.41979888912</v>
      </c>
      <c r="J21" s="68">
        <f>I21/I12</f>
        <v>0.52100000000000002</v>
      </c>
      <c r="K21" s="55">
        <f>SUM(K17:K20)</f>
        <v>89756.96951786209</v>
      </c>
      <c r="L21" s="68">
        <f>K21/K12</f>
        <v>0.47049999999999997</v>
      </c>
      <c r="M21" s="20">
        <f>SUM(M17:M20)</f>
        <v>89343.905250168318</v>
      </c>
      <c r="N21" s="68">
        <f>M21/M12</f>
        <v>0.44090000000000007</v>
      </c>
      <c r="O21" s="20">
        <f>SUM(O17:O20)</f>
        <v>92959.175030695522</v>
      </c>
      <c r="P21" s="68">
        <f>O21/O12</f>
        <v>0.4844</v>
      </c>
      <c r="Q21" s="20">
        <f>SUM(Q17:Q20)</f>
        <v>86372.981704004866</v>
      </c>
      <c r="R21" s="68">
        <f>Q21/Q12</f>
        <v>0.47989999999999999</v>
      </c>
      <c r="S21" s="20">
        <f>SUM(S17:S20)</f>
        <v>71889.392241809997</v>
      </c>
      <c r="T21" s="68">
        <f>S21/S12</f>
        <v>0.44220000000000004</v>
      </c>
      <c r="U21" s="55">
        <f>SUM(U17:U20)</f>
        <v>120140.66755261343</v>
      </c>
      <c r="V21" s="68">
        <f>U21/U12</f>
        <v>0.51800000000000002</v>
      </c>
      <c r="W21" s="34">
        <f>SUM(W17:W20)</f>
        <v>70077.222596087828</v>
      </c>
      <c r="X21" s="68">
        <f>W21/W12</f>
        <v>0.45169999999999993</v>
      </c>
      <c r="Y21" s="55">
        <f>SUM(Y17:Y20)</f>
        <v>103268.16194009168</v>
      </c>
      <c r="Z21" s="212">
        <f>Y21/Y12</f>
        <v>0.47820000000000007</v>
      </c>
      <c r="AA21" s="200">
        <f>SUM(AA17:AA20)</f>
        <v>1180312.1898858733</v>
      </c>
      <c r="AB21" s="234">
        <f>AA21/AA12</f>
        <v>0.50020958728247433</v>
      </c>
      <c r="AC21" s="199">
        <f>SUM(AC17:AC20)</f>
        <v>402615.07500000001</v>
      </c>
      <c r="AD21" s="234">
        <f>AC21/AC12</f>
        <v>0.5</v>
      </c>
      <c r="AE21" s="75"/>
      <c r="AF21" s="158"/>
      <c r="AG21" s="75"/>
      <c r="AH21" s="199">
        <f>SUM(AH17:AH20)</f>
        <v>402615.07500000001</v>
      </c>
      <c r="AI21" s="248">
        <f>AH21/AH12</f>
        <v>0.5</v>
      </c>
      <c r="AJ21" s="286">
        <f t="shared" si="16"/>
        <v>1985542.3398858733</v>
      </c>
      <c r="AK21" s="1"/>
      <c r="AL21" s="53"/>
      <c r="AM21" s="53">
        <f t="shared" si="17"/>
        <v>8767169.1709026266</v>
      </c>
      <c r="AN21" s="53" t="e">
        <f>#REF!-AM21</f>
        <v>#REF!</v>
      </c>
      <c r="AO21" s="53"/>
    </row>
    <row r="22" spans="1:41" ht="15.75" thickTop="1">
      <c r="A22" s="97">
        <v>5601</v>
      </c>
      <c r="B22" s="3" t="s">
        <v>54</v>
      </c>
      <c r="C22" s="18"/>
      <c r="D22" s="49">
        <f>C22/C12</f>
        <v>0</v>
      </c>
      <c r="E22" s="18"/>
      <c r="F22" s="49">
        <f>E22/E12</f>
        <v>0</v>
      </c>
      <c r="G22" s="18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68">
        <f>Y22/Y12</f>
        <v>0</v>
      </c>
      <c r="AA22" s="275">
        <f t="shared" ref="AA22:AA34" si="18">C22+E22+G22+I22+K22+M22+O22+Q22+S22+U22+W22+Y22</f>
        <v>0</v>
      </c>
      <c r="AB22" s="203">
        <f>AA22/AA12</f>
        <v>0</v>
      </c>
      <c r="AC22" s="204">
        <v>0</v>
      </c>
      <c r="AD22" s="203">
        <f>AC22/AC12</f>
        <v>0</v>
      </c>
      <c r="AE22" s="75"/>
      <c r="AF22" s="158"/>
      <c r="AG22" s="75"/>
      <c r="AH22" s="204">
        <v>0</v>
      </c>
      <c r="AI22" s="244">
        <f>AH22/AH12</f>
        <v>0</v>
      </c>
      <c r="AJ22" s="282">
        <f t="shared" si="16"/>
        <v>0</v>
      </c>
      <c r="AK22" s="1"/>
      <c r="AL22" s="53"/>
      <c r="AM22" s="53">
        <f t="shared" si="17"/>
        <v>0</v>
      </c>
      <c r="AN22" s="53" t="e">
        <f>#REF!-AM22</f>
        <v>#REF!</v>
      </c>
      <c r="AO22" s="53"/>
    </row>
    <row r="23" spans="1:41">
      <c r="A23" s="3">
        <v>5602</v>
      </c>
      <c r="B23" s="3" t="s">
        <v>55</v>
      </c>
      <c r="C23" s="18"/>
      <c r="D23" s="49">
        <f>C23/C12</f>
        <v>0</v>
      </c>
      <c r="E23" s="18"/>
      <c r="F23" s="49">
        <f>E23/E12</f>
        <v>0</v>
      </c>
      <c r="G23" s="18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68">
        <f>Y23/Y12</f>
        <v>0</v>
      </c>
      <c r="AA23" s="275">
        <f t="shared" si="18"/>
        <v>0</v>
      </c>
      <c r="AB23" s="203">
        <f>AA23/AA12</f>
        <v>0</v>
      </c>
      <c r="AC23" s="204">
        <v>0</v>
      </c>
      <c r="AD23" s="203">
        <f>AC23/AC12</f>
        <v>0</v>
      </c>
      <c r="AE23" s="75"/>
      <c r="AF23" s="158"/>
      <c r="AG23" s="75"/>
      <c r="AH23" s="204">
        <v>0</v>
      </c>
      <c r="AI23" s="244">
        <f>AH23/AH12</f>
        <v>0</v>
      </c>
      <c r="AJ23" s="282">
        <f t="shared" si="16"/>
        <v>0</v>
      </c>
      <c r="AK23" s="1"/>
      <c r="AL23" s="53"/>
      <c r="AM23" s="53">
        <f t="shared" si="17"/>
        <v>0</v>
      </c>
      <c r="AN23" s="53" t="e">
        <f>#REF!-AM23</f>
        <v>#REF!</v>
      </c>
      <c r="AO23" s="53"/>
    </row>
    <row r="24" spans="1:41">
      <c r="A24" s="3">
        <v>5603</v>
      </c>
      <c r="B24" s="3" t="s">
        <v>56</v>
      </c>
      <c r="C24" s="18"/>
      <c r="D24" s="49">
        <f>C24/C12</f>
        <v>0</v>
      </c>
      <c r="E24" s="18"/>
      <c r="F24" s="49">
        <f>E24/E12</f>
        <v>0</v>
      </c>
      <c r="G24" s="18"/>
      <c r="H24" s="49">
        <f>G24/G12</f>
        <v>0</v>
      </c>
      <c r="I24" s="18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68">
        <f>Y24/Y12</f>
        <v>0</v>
      </c>
      <c r="AA24" s="275">
        <f t="shared" si="18"/>
        <v>0</v>
      </c>
      <c r="AB24" s="203">
        <f>AA24/AA12</f>
        <v>0</v>
      </c>
      <c r="AC24" s="204">
        <v>0</v>
      </c>
      <c r="AD24" s="203">
        <f>AC24/AC12</f>
        <v>0</v>
      </c>
      <c r="AE24" s="75"/>
      <c r="AF24" s="158"/>
      <c r="AG24" s="75"/>
      <c r="AH24" s="204">
        <v>0</v>
      </c>
      <c r="AI24" s="244">
        <f>AH24/AH12</f>
        <v>0</v>
      </c>
      <c r="AJ24" s="282">
        <f t="shared" si="16"/>
        <v>0</v>
      </c>
      <c r="AK24" s="1"/>
      <c r="AL24" s="53"/>
      <c r="AM24" s="53">
        <f t="shared" si="17"/>
        <v>0</v>
      </c>
      <c r="AN24" s="53" t="e">
        <f>#REF!-AM24</f>
        <v>#REF!</v>
      </c>
      <c r="AO24" s="53"/>
    </row>
    <row r="25" spans="1:41">
      <c r="A25" s="3">
        <v>5604</v>
      </c>
      <c r="B25" s="3" t="s">
        <v>57</v>
      </c>
      <c r="C25" s="18">
        <v>0.128</v>
      </c>
      <c r="D25" s="49">
        <f>C25/C12</f>
        <v>5.059468518642956E-7</v>
      </c>
      <c r="E25" s="18">
        <v>50</v>
      </c>
      <c r="F25" s="49">
        <f>E25/E12</f>
        <v>3.0175132186219711E-4</v>
      </c>
      <c r="G25" s="18">
        <v>50</v>
      </c>
      <c r="H25" s="49">
        <f>G25/G12</f>
        <v>2.5587472145337595E-4</v>
      </c>
      <c r="I25" s="18">
        <v>50</v>
      </c>
      <c r="J25" s="49">
        <f>I25/I12</f>
        <v>2.3294406826797088E-4</v>
      </c>
      <c r="K25" s="18">
        <v>50</v>
      </c>
      <c r="L25" s="49">
        <f>K25/K12</f>
        <v>2.6209663858268301E-4</v>
      </c>
      <c r="M25" s="18">
        <v>50</v>
      </c>
      <c r="N25" s="49">
        <f>M25/M12</f>
        <v>2.4674318789035107E-4</v>
      </c>
      <c r="O25" s="18">
        <v>50</v>
      </c>
      <c r="P25" s="49">
        <f>O25/O12</f>
        <v>2.6054448086487914E-4</v>
      </c>
      <c r="Q25" s="18">
        <v>50</v>
      </c>
      <c r="R25" s="49">
        <f>Q25/Q12</f>
        <v>2.7780678085456695E-4</v>
      </c>
      <c r="S25" s="18">
        <v>50</v>
      </c>
      <c r="T25" s="49">
        <f>S25/S12</f>
        <v>3.0755580636472672E-4</v>
      </c>
      <c r="U25" s="18">
        <v>50</v>
      </c>
      <c r="V25" s="49">
        <f>U25/U12</f>
        <v>2.155806233443606E-4</v>
      </c>
      <c r="W25" s="18">
        <v>50</v>
      </c>
      <c r="X25" s="49">
        <f>W25/W12</f>
        <v>3.2228731623934026E-4</v>
      </c>
      <c r="Y25" s="18">
        <v>50</v>
      </c>
      <c r="Z25" s="168">
        <f>Y25/Y12</f>
        <v>2.3153312260821261E-4</v>
      </c>
      <c r="AA25" s="275">
        <f t="shared" si="18"/>
        <v>550.12799999999993</v>
      </c>
      <c r="AB25" s="203">
        <f>AA25/AA12</f>
        <v>2.3314111485973945E-4</v>
      </c>
      <c r="AC25" s="204">
        <v>600</v>
      </c>
      <c r="AD25" s="203">
        <f>AC25/AC12</f>
        <v>7.4512858218237356E-4</v>
      </c>
      <c r="AE25" s="75"/>
      <c r="AF25" s="158"/>
      <c r="AG25" s="75"/>
      <c r="AH25" s="204">
        <v>600</v>
      </c>
      <c r="AI25" s="244">
        <f>AH25/AH12</f>
        <v>7.4512858218237356E-4</v>
      </c>
      <c r="AJ25" s="282">
        <f t="shared" si="16"/>
        <v>1750.1279999999999</v>
      </c>
      <c r="AK25" s="1"/>
      <c r="AL25" s="53"/>
      <c r="AM25" s="53">
        <f t="shared" si="17"/>
        <v>4700</v>
      </c>
      <c r="AN25" s="53" t="e">
        <f>#REF!-AM25</f>
        <v>#REF!</v>
      </c>
      <c r="AO25" s="53"/>
    </row>
    <row r="26" spans="1:41">
      <c r="A26" s="3">
        <v>5605</v>
      </c>
      <c r="B26" s="3" t="s">
        <v>15</v>
      </c>
      <c r="C26" s="18"/>
      <c r="D26" s="49">
        <f>C26/C12</f>
        <v>0</v>
      </c>
      <c r="E26" s="18"/>
      <c r="F26" s="49">
        <f>E26/E12</f>
        <v>0</v>
      </c>
      <c r="G26" s="18"/>
      <c r="H26" s="49">
        <f>G26/G12</f>
        <v>0</v>
      </c>
      <c r="I26" s="18"/>
      <c r="J26" s="49">
        <f>I26/I12</f>
        <v>0</v>
      </c>
      <c r="K26" s="18"/>
      <c r="L26" s="49">
        <f>K26/K12</f>
        <v>0</v>
      </c>
      <c r="M26" s="18"/>
      <c r="N26" s="49">
        <f>M26/M12</f>
        <v>0</v>
      </c>
      <c r="O26" s="18"/>
      <c r="P26" s="49">
        <f>O26/O12</f>
        <v>0</v>
      </c>
      <c r="Q26" s="18"/>
      <c r="R26" s="49">
        <f>Q26/Q12</f>
        <v>0</v>
      </c>
      <c r="S26" s="18"/>
      <c r="T26" s="49">
        <f>S26/S12</f>
        <v>0</v>
      </c>
      <c r="U26" s="18"/>
      <c r="V26" s="49">
        <f>U26/U12</f>
        <v>0</v>
      </c>
      <c r="W26" s="18"/>
      <c r="X26" s="49">
        <f>W26/W12</f>
        <v>0</v>
      </c>
      <c r="Y26" s="18"/>
      <c r="Z26" s="168">
        <f>Y26/Y12</f>
        <v>0</v>
      </c>
      <c r="AA26" s="275">
        <f t="shared" si="18"/>
        <v>0</v>
      </c>
      <c r="AB26" s="203">
        <f>AA26/AA12</f>
        <v>0</v>
      </c>
      <c r="AC26" s="204">
        <v>0</v>
      </c>
      <c r="AD26" s="203">
        <f>AC26/AC12</f>
        <v>0</v>
      </c>
      <c r="AE26" s="75"/>
      <c r="AF26" s="158"/>
      <c r="AG26" s="75"/>
      <c r="AH26" s="204">
        <v>0</v>
      </c>
      <c r="AI26" s="244">
        <f>AH26/AH12</f>
        <v>0</v>
      </c>
      <c r="AJ26" s="282">
        <f t="shared" si="16"/>
        <v>0</v>
      </c>
      <c r="AK26" s="1"/>
      <c r="AL26" s="53"/>
      <c r="AM26" s="53">
        <f t="shared" si="17"/>
        <v>0</v>
      </c>
      <c r="AN26" s="53" t="e">
        <f>#REF!-AM26</f>
        <v>#REF!</v>
      </c>
      <c r="AO26" s="53"/>
    </row>
    <row r="27" spans="1:41">
      <c r="A27" s="3">
        <v>5606</v>
      </c>
      <c r="B27" s="3" t="s">
        <v>77</v>
      </c>
      <c r="C27" s="18">
        <v>973.02599999999995</v>
      </c>
      <c r="D27" s="49">
        <f>C27/C12</f>
        <v>3.8460893865789689E-3</v>
      </c>
      <c r="E27" s="18">
        <f>E16*0.05%</f>
        <v>82.849678489285708</v>
      </c>
      <c r="F27" s="49">
        <f>E27/E12</f>
        <v>5.0000000000000001E-4</v>
      </c>
      <c r="G27" s="18">
        <f>G16*0.05%</f>
        <v>97.704063371321979</v>
      </c>
      <c r="H27" s="49">
        <f>G27/G12</f>
        <v>5.0000000000000001E-4</v>
      </c>
      <c r="I27" s="18">
        <f>I16*0.05%</f>
        <v>107.3218999989339</v>
      </c>
      <c r="J27" s="49">
        <f>I27/I12</f>
        <v>5.0000000000000001E-4</v>
      </c>
      <c r="K27" s="18">
        <f>K16*0.05%</f>
        <v>95.384664737366734</v>
      </c>
      <c r="L27" s="49">
        <f>K27/K12</f>
        <v>5.0000000000000001E-4</v>
      </c>
      <c r="M27" s="18">
        <f>M16*0.05%</f>
        <v>101.31991976657781</v>
      </c>
      <c r="N27" s="49">
        <f>M27/M12</f>
        <v>5.0000000000000001E-4</v>
      </c>
      <c r="O27" s="18">
        <f>O16*0.05%</f>
        <v>95.952905688166311</v>
      </c>
      <c r="P27" s="49">
        <f>O27/O12</f>
        <v>5.0000000000000001E-4</v>
      </c>
      <c r="Q27" s="18">
        <f>Q16*0.05%</f>
        <v>89.990603984168445</v>
      </c>
      <c r="R27" s="49">
        <f>Q27/Q12</f>
        <v>5.0000000000000001E-4</v>
      </c>
      <c r="S27" s="18">
        <f>S16*0.05%</f>
        <v>81.286060879477603</v>
      </c>
      <c r="T27" s="49">
        <f>S27/S12</f>
        <v>5.0000000000000001E-4</v>
      </c>
      <c r="U27" s="18">
        <f>U16*0.05%</f>
        <v>115.96589532105543</v>
      </c>
      <c r="V27" s="49">
        <f>U27/U12</f>
        <v>5.0000000000000001E-4</v>
      </c>
      <c r="W27" s="18">
        <f>W12*0.05%</f>
        <v>77.570536413646039</v>
      </c>
      <c r="X27" s="49">
        <f>W27/W12</f>
        <v>5.0000000000000001E-4</v>
      </c>
      <c r="Y27" s="18">
        <f>Y12*0.05%</f>
        <v>107.97591168976545</v>
      </c>
      <c r="Z27" s="168">
        <f>Y27/Y12</f>
        <v>5.0000000000000001E-4</v>
      </c>
      <c r="AA27" s="275">
        <f t="shared" si="18"/>
        <v>2026.3481403397661</v>
      </c>
      <c r="AB27" s="203">
        <f>AA27/AA12</f>
        <v>8.5875480712265667E-4</v>
      </c>
      <c r="AC27" s="204">
        <f>AA27</f>
        <v>2026.3481403397661</v>
      </c>
      <c r="AD27" s="203">
        <f>AC27/AC12</f>
        <v>2.5164831946987653E-3</v>
      </c>
      <c r="AE27" s="75" t="s">
        <v>134</v>
      </c>
      <c r="AF27" s="158">
        <v>-1689</v>
      </c>
      <c r="AG27" s="75" t="s">
        <v>135</v>
      </c>
      <c r="AH27" s="204">
        <f>AA27</f>
        <v>2026.3481403397661</v>
      </c>
      <c r="AI27" s="244">
        <f>AH27/AH12</f>
        <v>2.5164831946987653E-3</v>
      </c>
      <c r="AJ27" s="282">
        <f t="shared" si="16"/>
        <v>6079.0444210192982</v>
      </c>
      <c r="AK27" s="1"/>
      <c r="AL27" s="53"/>
      <c r="AM27" s="53">
        <f t="shared" si="17"/>
        <v>9122.441141394509</v>
      </c>
      <c r="AN27" s="53" t="e">
        <f>#REF!-AM27</f>
        <v>#REF!</v>
      </c>
      <c r="AO27" s="53"/>
    </row>
    <row r="28" spans="1:41">
      <c r="A28" s="3">
        <v>5607</v>
      </c>
      <c r="B28" s="112" t="s">
        <v>58</v>
      </c>
      <c r="C28" s="130"/>
      <c r="D28" s="49">
        <f>C28/C12</f>
        <v>0</v>
      </c>
      <c r="E28" s="43"/>
      <c r="F28" s="49">
        <f>E28/E12</f>
        <v>0</v>
      </c>
      <c r="G28" s="80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68">
        <f>Y28/Y12</f>
        <v>0</v>
      </c>
      <c r="AA28" s="275">
        <f t="shared" si="18"/>
        <v>0</v>
      </c>
      <c r="AB28" s="203">
        <f>AA28/AA12</f>
        <v>0</v>
      </c>
      <c r="AC28" s="194">
        <v>0</v>
      </c>
      <c r="AD28" s="203">
        <f>AC28/AC12</f>
        <v>0</v>
      </c>
      <c r="AE28" s="75"/>
      <c r="AF28" s="158"/>
      <c r="AG28" s="75"/>
      <c r="AH28" s="194">
        <v>0</v>
      </c>
      <c r="AI28" s="244">
        <f>AH28/AH12</f>
        <v>0</v>
      </c>
      <c r="AJ28" s="282">
        <f t="shared" si="16"/>
        <v>0</v>
      </c>
      <c r="AK28" s="1"/>
      <c r="AL28" s="53"/>
      <c r="AM28" s="53">
        <f t="shared" si="17"/>
        <v>0</v>
      </c>
      <c r="AN28" s="53" t="e">
        <f>#REF!-AM28</f>
        <v>#REF!</v>
      </c>
      <c r="AO28" s="53"/>
    </row>
    <row r="29" spans="1:41">
      <c r="A29" s="3">
        <v>5608</v>
      </c>
      <c r="B29" s="112" t="s">
        <v>59</v>
      </c>
      <c r="C29" s="130"/>
      <c r="D29" s="49">
        <f>C29/C12</f>
        <v>0</v>
      </c>
      <c r="E29" s="43"/>
      <c r="F29" s="49">
        <f>E29/E12</f>
        <v>0</v>
      </c>
      <c r="G29" s="80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68">
        <f>Y29/Y12</f>
        <v>0</v>
      </c>
      <c r="AA29" s="275">
        <f t="shared" si="18"/>
        <v>0</v>
      </c>
      <c r="AB29" s="203">
        <f>AA29/AA12</f>
        <v>0</v>
      </c>
      <c r="AC29" s="194">
        <v>0</v>
      </c>
      <c r="AD29" s="203">
        <f>AC29/AC12</f>
        <v>0</v>
      </c>
      <c r="AE29" s="75"/>
      <c r="AF29" s="158"/>
      <c r="AG29" s="75"/>
      <c r="AH29" s="194">
        <v>0</v>
      </c>
      <c r="AI29" s="244">
        <f>AH29/AH12</f>
        <v>0</v>
      </c>
      <c r="AJ29" s="282">
        <f t="shared" si="16"/>
        <v>0</v>
      </c>
      <c r="AK29" s="1"/>
      <c r="AL29" s="53"/>
      <c r="AM29" s="53">
        <f t="shared" si="17"/>
        <v>0</v>
      </c>
      <c r="AN29" s="53" t="e">
        <f>#REF!-AM29</f>
        <v>#REF!</v>
      </c>
      <c r="AO29" s="53"/>
    </row>
    <row r="30" spans="1:41">
      <c r="A30" s="3">
        <v>5609</v>
      </c>
      <c r="B30" s="112" t="s">
        <v>60</v>
      </c>
      <c r="C30" s="130"/>
      <c r="D30" s="49">
        <f>C30/C12</f>
        <v>0</v>
      </c>
      <c r="E30" s="43"/>
      <c r="F30" s="49">
        <f>E30/E12</f>
        <v>0</v>
      </c>
      <c r="G30" s="80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68">
        <f>Y30/Y12</f>
        <v>0</v>
      </c>
      <c r="AA30" s="275">
        <f t="shared" si="18"/>
        <v>0</v>
      </c>
      <c r="AB30" s="203">
        <f>AA30/AA12</f>
        <v>0</v>
      </c>
      <c r="AC30" s="194">
        <v>0</v>
      </c>
      <c r="AD30" s="203">
        <f>AC30/AC12</f>
        <v>0</v>
      </c>
      <c r="AE30" s="75"/>
      <c r="AF30" s="158"/>
      <c r="AG30" s="75"/>
      <c r="AH30" s="194">
        <v>0</v>
      </c>
      <c r="AI30" s="244">
        <f>AH30/AH12</f>
        <v>0</v>
      </c>
      <c r="AJ30" s="282">
        <f t="shared" si="16"/>
        <v>0</v>
      </c>
      <c r="AK30" s="1"/>
      <c r="AL30" s="53"/>
      <c r="AM30" s="53">
        <f t="shared" si="17"/>
        <v>0</v>
      </c>
      <c r="AN30" s="53" t="e">
        <f>#REF!-AM30</f>
        <v>#REF!</v>
      </c>
      <c r="AO30" s="53"/>
    </row>
    <row r="31" spans="1:41">
      <c r="A31" s="3">
        <v>5610</v>
      </c>
      <c r="B31" s="112" t="s">
        <v>61</v>
      </c>
      <c r="C31" s="130"/>
      <c r="D31" s="49">
        <f>C31/C12</f>
        <v>0</v>
      </c>
      <c r="E31" s="43"/>
      <c r="F31" s="49">
        <f>E31/E12</f>
        <v>0</v>
      </c>
      <c r="G31" s="80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68">
        <f>Y31/Y12</f>
        <v>0</v>
      </c>
      <c r="AA31" s="275">
        <f t="shared" si="18"/>
        <v>0</v>
      </c>
      <c r="AB31" s="203">
        <f>AA31/AA12</f>
        <v>0</v>
      </c>
      <c r="AC31" s="194">
        <v>0</v>
      </c>
      <c r="AD31" s="203">
        <f>AC31/AC12</f>
        <v>0</v>
      </c>
      <c r="AE31" s="75"/>
      <c r="AF31" s="158"/>
      <c r="AG31" s="75"/>
      <c r="AH31" s="194">
        <v>0</v>
      </c>
      <c r="AI31" s="244">
        <f>AH31/AH12</f>
        <v>0</v>
      </c>
      <c r="AJ31" s="282">
        <f t="shared" si="16"/>
        <v>0</v>
      </c>
      <c r="AK31" s="1"/>
      <c r="AL31" s="53"/>
      <c r="AM31" s="53">
        <f t="shared" si="17"/>
        <v>0</v>
      </c>
      <c r="AN31" s="53" t="e">
        <f>#REF!-AM31</f>
        <v>#REF!</v>
      </c>
      <c r="AO31" s="53"/>
    </row>
    <row r="32" spans="1:41">
      <c r="A32" s="3">
        <v>5611</v>
      </c>
      <c r="B32" s="112" t="s">
        <v>95</v>
      </c>
      <c r="C32" s="130"/>
      <c r="D32" s="49">
        <f>C32/C12</f>
        <v>0</v>
      </c>
      <c r="E32" s="43"/>
      <c r="F32" s="49">
        <f>E32/E12</f>
        <v>0</v>
      </c>
      <c r="G32" s="80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68">
        <f>Y32/Y12</f>
        <v>0</v>
      </c>
      <c r="AA32" s="275">
        <f t="shared" si="18"/>
        <v>0</v>
      </c>
      <c r="AB32" s="203">
        <f>AA32/AA12</f>
        <v>0</v>
      </c>
      <c r="AC32" s="194">
        <v>0</v>
      </c>
      <c r="AD32" s="203">
        <f>AC32/AC12</f>
        <v>0</v>
      </c>
      <c r="AE32" s="75"/>
      <c r="AF32" s="158"/>
      <c r="AG32" s="75"/>
      <c r="AH32" s="194">
        <v>0</v>
      </c>
      <c r="AI32" s="244">
        <f>AH32/AH12</f>
        <v>0</v>
      </c>
      <c r="AJ32" s="282">
        <f t="shared" si="16"/>
        <v>0</v>
      </c>
      <c r="AK32" s="1"/>
      <c r="AL32" s="53"/>
      <c r="AM32" s="53">
        <f t="shared" si="17"/>
        <v>0</v>
      </c>
      <c r="AN32" s="53" t="e">
        <f>#REF!-AM32</f>
        <v>#REF!</v>
      </c>
      <c r="AO32" s="53"/>
    </row>
    <row r="33" spans="1:41">
      <c r="A33" s="3">
        <v>5612</v>
      </c>
      <c r="B33" s="112" t="s">
        <v>62</v>
      </c>
      <c r="C33" s="130"/>
      <c r="D33" s="49">
        <f>C33/C12</f>
        <v>0</v>
      </c>
      <c r="E33" s="43"/>
      <c r="F33" s="49">
        <f>E33/E12</f>
        <v>0</v>
      </c>
      <c r="G33" s="80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68">
        <f>Y33/Y12</f>
        <v>0</v>
      </c>
      <c r="AA33" s="275">
        <f t="shared" si="18"/>
        <v>0</v>
      </c>
      <c r="AB33" s="203">
        <f>AA33/AA12</f>
        <v>0</v>
      </c>
      <c r="AC33" s="194">
        <v>0</v>
      </c>
      <c r="AD33" s="203">
        <f>AC33/AC12</f>
        <v>0</v>
      </c>
      <c r="AE33" s="75"/>
      <c r="AF33" s="158"/>
      <c r="AG33" s="75"/>
      <c r="AH33" s="194">
        <v>0</v>
      </c>
      <c r="AI33" s="244">
        <f>AH33/AH12</f>
        <v>0</v>
      </c>
      <c r="AJ33" s="282">
        <f t="shared" si="16"/>
        <v>0</v>
      </c>
      <c r="AK33" s="1"/>
      <c r="AL33" s="53"/>
      <c r="AM33" s="53">
        <f t="shared" si="17"/>
        <v>0</v>
      </c>
      <c r="AN33" s="53" t="e">
        <f>#REF!-AM33</f>
        <v>#REF!</v>
      </c>
      <c r="AO33" s="53"/>
    </row>
    <row r="34" spans="1:41">
      <c r="A34" s="3">
        <v>5613</v>
      </c>
      <c r="B34" s="112" t="s">
        <v>63</v>
      </c>
      <c r="C34" s="130"/>
      <c r="D34" s="49">
        <f>C34/C12</f>
        <v>0</v>
      </c>
      <c r="E34" s="43"/>
      <c r="F34" s="49">
        <f>E34/E12</f>
        <v>0</v>
      </c>
      <c r="G34" s="80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68">
        <f>Y34/Y12</f>
        <v>0</v>
      </c>
      <c r="AA34" s="275">
        <f t="shared" si="18"/>
        <v>0</v>
      </c>
      <c r="AB34" s="203">
        <f>AA34/AA12</f>
        <v>0</v>
      </c>
      <c r="AC34" s="194">
        <v>0</v>
      </c>
      <c r="AD34" s="203">
        <f>AC34/AC12</f>
        <v>0</v>
      </c>
      <c r="AE34" s="75"/>
      <c r="AF34" s="158"/>
      <c r="AG34" s="75"/>
      <c r="AH34" s="194">
        <v>0</v>
      </c>
      <c r="AI34" s="244">
        <f>AH34/AH12</f>
        <v>0</v>
      </c>
      <c r="AJ34" s="282">
        <f t="shared" si="16"/>
        <v>0</v>
      </c>
      <c r="AK34" s="1"/>
      <c r="AL34" s="53"/>
      <c r="AM34" s="53">
        <f t="shared" si="17"/>
        <v>0</v>
      </c>
      <c r="AN34" s="53" t="e">
        <f>#REF!-AM34</f>
        <v>#REF!</v>
      </c>
      <c r="AO34" s="53"/>
    </row>
    <row r="35" spans="1:41">
      <c r="A35" s="8">
        <v>5699</v>
      </c>
      <c r="B35" s="113" t="s">
        <v>96</v>
      </c>
      <c r="C35" s="29">
        <f>SUM(C22:C34)</f>
        <v>973.154</v>
      </c>
      <c r="D35" s="66">
        <f>C35/C12</f>
        <v>3.8465953334308337E-3</v>
      </c>
      <c r="E35" s="58">
        <f>SUM(E22:E34)</f>
        <v>132.84967848928571</v>
      </c>
      <c r="F35" s="66">
        <f>E35/E12</f>
        <v>8.0175132186219712E-4</v>
      </c>
      <c r="G35" s="85">
        <f>SUM(G22:G34)</f>
        <v>147.70406337132198</v>
      </c>
      <c r="H35" s="66">
        <f>G35/G12</f>
        <v>7.5587472145337601E-4</v>
      </c>
      <c r="I35" s="21">
        <f>SUM(I22:I34)</f>
        <v>157.3218999989339</v>
      </c>
      <c r="J35" s="66">
        <f>I35/I12</f>
        <v>7.3294406826797094E-4</v>
      </c>
      <c r="K35" s="58">
        <f>SUM(K22:K34)</f>
        <v>145.38466473736673</v>
      </c>
      <c r="L35" s="66">
        <f>K35/K12</f>
        <v>7.6209663858268302E-4</v>
      </c>
      <c r="M35" s="21">
        <f>SUM(M22:M34)</f>
        <v>151.31991976657781</v>
      </c>
      <c r="N35" s="66">
        <f>M35/M12</f>
        <v>7.4674318789035108E-4</v>
      </c>
      <c r="O35" s="21">
        <f>SUM(O22:O34)</f>
        <v>145.95290568816631</v>
      </c>
      <c r="P35" s="66">
        <f>O35/O12</f>
        <v>7.605444808648791E-4</v>
      </c>
      <c r="Q35" s="21">
        <f>SUM(Q22:Q34)</f>
        <v>139.99060398416844</v>
      </c>
      <c r="R35" s="66">
        <f>Q35/Q12</f>
        <v>7.7780678085456701E-4</v>
      </c>
      <c r="S35" s="21">
        <f>SUM(S22:S34)</f>
        <v>131.28606087947759</v>
      </c>
      <c r="T35" s="66">
        <f>S35/S12</f>
        <v>8.0755580636472657E-4</v>
      </c>
      <c r="U35" s="58">
        <f>SUM(U22:U34)</f>
        <v>165.96589532105543</v>
      </c>
      <c r="V35" s="66">
        <f>U35/U12</f>
        <v>7.1558062334436056E-4</v>
      </c>
      <c r="W35" s="40">
        <f>SUM(W22:W34)</f>
        <v>127.57053641364604</v>
      </c>
      <c r="X35" s="66">
        <f>W35/W12</f>
        <v>8.2228731623934027E-4</v>
      </c>
      <c r="Y35" s="58">
        <f>SUM(Y22:Y34)</f>
        <v>157.97591168976544</v>
      </c>
      <c r="Z35" s="213">
        <f>Y35/Y12</f>
        <v>7.3153312260821257E-4</v>
      </c>
      <c r="AA35" s="200">
        <f>SUM(AA22:AA34)</f>
        <v>2576.4761403397661</v>
      </c>
      <c r="AB35" s="234">
        <f>AA35/AA12</f>
        <v>1.0918959219823961E-3</v>
      </c>
      <c r="AC35" s="235">
        <f>SUM(AC22:AC34)</f>
        <v>2626.3481403397664</v>
      </c>
      <c r="AD35" s="234">
        <f>AC35/AC12</f>
        <v>3.261611776881139E-3</v>
      </c>
      <c r="AE35" s="75"/>
      <c r="AF35" s="158"/>
      <c r="AG35" s="75"/>
      <c r="AH35" s="235">
        <f>SUM(AH22:AH34)</f>
        <v>2626.3481403397664</v>
      </c>
      <c r="AI35" s="248">
        <f>AH35/AH12</f>
        <v>3.261611776881139E-3</v>
      </c>
      <c r="AJ35" s="286">
        <f t="shared" si="16"/>
        <v>7829.1724210192988</v>
      </c>
      <c r="AK35" s="1"/>
      <c r="AL35" s="53"/>
      <c r="AM35" s="53">
        <f t="shared" si="17"/>
        <v>13822.441141394511</v>
      </c>
      <c r="AN35" s="53" t="e">
        <f>#REF!-AM35</f>
        <v>#REF!</v>
      </c>
      <c r="AO35" s="53"/>
    </row>
    <row r="36" spans="1:41">
      <c r="A36" s="8">
        <v>5999</v>
      </c>
      <c r="B36" s="113" t="s">
        <v>97</v>
      </c>
      <c r="C36" s="29">
        <f>C21+C35</f>
        <v>153911.06099999999</v>
      </c>
      <c r="D36" s="66">
        <f>C36/C12</f>
        <v>0.60836575609409027</v>
      </c>
      <c r="E36" s="58">
        <f>E21+E35</f>
        <v>94830.032191742866</v>
      </c>
      <c r="F36" s="66">
        <f>E36/E12</f>
        <v>0.57230175132186223</v>
      </c>
      <c r="G36" s="85">
        <f>G21+G35</f>
        <v>97187.379803768301</v>
      </c>
      <c r="H36" s="66">
        <f>G36/G12</f>
        <v>0.49735587472145337</v>
      </c>
      <c r="I36" s="21">
        <f>I21+I35</f>
        <v>111986.74169888806</v>
      </c>
      <c r="J36" s="66">
        <f>I36/I12</f>
        <v>0.52173294406826798</v>
      </c>
      <c r="K36" s="58">
        <f>K21+K35</f>
        <v>89902.354182599462</v>
      </c>
      <c r="L36" s="66">
        <f>K36/K12</f>
        <v>0.47126209663858265</v>
      </c>
      <c r="M36" s="21">
        <f>M21+M35</f>
        <v>89495.2251699349</v>
      </c>
      <c r="N36" s="66">
        <f>M36/M12</f>
        <v>0.44164674318789043</v>
      </c>
      <c r="O36" s="21">
        <f>O21+O35</f>
        <v>93105.127936383695</v>
      </c>
      <c r="P36" s="66">
        <f>O36/O12</f>
        <v>0.48516054448086493</v>
      </c>
      <c r="Q36" s="21">
        <f>Q21+Q35</f>
        <v>86512.972307989039</v>
      </c>
      <c r="R36" s="66">
        <f>Q36/Q12</f>
        <v>0.48067780678085459</v>
      </c>
      <c r="S36" s="21">
        <f>S21+S35</f>
        <v>72020.67830268947</v>
      </c>
      <c r="T36" s="66">
        <f>S36/S12</f>
        <v>0.44300755580636469</v>
      </c>
      <c r="U36" s="58">
        <f>U21+U35</f>
        <v>120306.6334479345</v>
      </c>
      <c r="V36" s="66">
        <f>U36/U12</f>
        <v>0.51871558062334444</v>
      </c>
      <c r="W36" s="40">
        <f>W21+W35</f>
        <v>70204.79313250148</v>
      </c>
      <c r="X36" s="66">
        <f>W36/W12</f>
        <v>0.45252228731623934</v>
      </c>
      <c r="Y36" s="58">
        <f>Y21+Y35</f>
        <v>103426.13785178144</v>
      </c>
      <c r="Z36" s="213">
        <f>Y36/Y12</f>
        <v>0.47893153312260822</v>
      </c>
      <c r="AA36" s="200">
        <f>AA21+AA35</f>
        <v>1182888.6660262132</v>
      </c>
      <c r="AB36" s="234">
        <f>AA36/AA12</f>
        <v>0.50130148320445678</v>
      </c>
      <c r="AC36" s="235">
        <f>AC35+AC21</f>
        <v>405241.42314033979</v>
      </c>
      <c r="AD36" s="234">
        <f>AC36/AC12</f>
        <v>0.50326161177688111</v>
      </c>
      <c r="AE36" s="75"/>
      <c r="AF36" s="158"/>
      <c r="AG36" s="75"/>
      <c r="AH36" s="235">
        <f>AH35+AH21</f>
        <v>405241.42314033979</v>
      </c>
      <c r="AI36" s="248">
        <f>AH36/AH12</f>
        <v>0.50326161177688111</v>
      </c>
      <c r="AJ36" s="286">
        <f t="shared" si="16"/>
        <v>1993371.5123068928</v>
      </c>
      <c r="AK36" s="1"/>
      <c r="AL36" s="53"/>
      <c r="AM36" s="53">
        <f t="shared" si="17"/>
        <v>8780991.6120440215</v>
      </c>
      <c r="AN36" s="53" t="e">
        <f>#REF!-AM36</f>
        <v>#REF!</v>
      </c>
      <c r="AO36" s="53"/>
    </row>
    <row r="37" spans="1:41" ht="15.75" thickBot="1">
      <c r="A37" s="9"/>
      <c r="B37" s="114" t="s">
        <v>69</v>
      </c>
      <c r="C37" s="28">
        <f>(C16-C36)</f>
        <v>99079.939000000013</v>
      </c>
      <c r="D37" s="67">
        <f>C37/C12</f>
        <v>0.39163424390590973</v>
      </c>
      <c r="E37" s="59">
        <f>(E16-E36)</f>
        <v>70869.324786828554</v>
      </c>
      <c r="F37" s="67">
        <f>E37/E12</f>
        <v>0.42769824867813772</v>
      </c>
      <c r="G37" s="86">
        <f>(G16-G36)</f>
        <v>98220.746938875644</v>
      </c>
      <c r="H37" s="67">
        <f>G37/G12</f>
        <v>0.50264412527854663</v>
      </c>
      <c r="I37" s="22">
        <f>(I16-I36)</f>
        <v>102657.05829897973</v>
      </c>
      <c r="J37" s="67">
        <f>I37/I12</f>
        <v>0.47826705593173197</v>
      </c>
      <c r="K37" s="59">
        <f>(K16-K36)</f>
        <v>100866.97529213401</v>
      </c>
      <c r="L37" s="67">
        <f>K37/K12</f>
        <v>0.52873790336141735</v>
      </c>
      <c r="M37" s="22">
        <f>(M16-M36)</f>
        <v>113144.61436322071</v>
      </c>
      <c r="N37" s="67">
        <f>M37/M12</f>
        <v>0.55835325681210957</v>
      </c>
      <c r="O37" s="22">
        <f>(O16-O36)</f>
        <v>98800.683439948931</v>
      </c>
      <c r="P37" s="67">
        <f>O37/O12</f>
        <v>0.51483945551913513</v>
      </c>
      <c r="Q37" s="22">
        <f>(Q16-Q36)</f>
        <v>93468.23566034784</v>
      </c>
      <c r="R37" s="67">
        <f>Q37/Q12</f>
        <v>0.51932219321914541</v>
      </c>
      <c r="S37" s="22">
        <f>(S16-S36)</f>
        <v>90551.443456265741</v>
      </c>
      <c r="T37" s="67">
        <f>S37/S12</f>
        <v>0.55699244419363525</v>
      </c>
      <c r="U37" s="59">
        <f>(U16-U36)</f>
        <v>111625.15719417637</v>
      </c>
      <c r="V37" s="67">
        <f>U37/U12</f>
        <v>0.48128441937665556</v>
      </c>
      <c r="W37" s="41">
        <f>(W16-W36)</f>
        <v>84936.279694790603</v>
      </c>
      <c r="X37" s="67">
        <f>W37/W12</f>
        <v>0.54747771268376066</v>
      </c>
      <c r="Y37" s="59">
        <f>(Y16-Y36)</f>
        <v>112525.68552774945</v>
      </c>
      <c r="Z37" s="214">
        <f>Y37/Y12</f>
        <v>0.52106846687739172</v>
      </c>
      <c r="AA37" s="277">
        <f>(AA16-AA36)</f>
        <v>1176746.6146533173</v>
      </c>
      <c r="AB37" s="236">
        <f>AA37/AA12</f>
        <v>0.49869851679554328</v>
      </c>
      <c r="AC37" s="232">
        <f>(AC16-AC36)</f>
        <v>399988.72685966024</v>
      </c>
      <c r="AD37" s="236">
        <f>AC37/AC12</f>
        <v>0.49673838822311883</v>
      </c>
      <c r="AE37" s="75"/>
      <c r="AF37" s="158"/>
      <c r="AG37" s="75"/>
      <c r="AH37" s="232">
        <f>(AH16-AH36)</f>
        <v>399988.72685966024</v>
      </c>
      <c r="AI37" s="249">
        <f>AH37/AH12</f>
        <v>0.49673838822311883</v>
      </c>
      <c r="AJ37" s="287">
        <f t="shared" si="16"/>
        <v>1976724.068372638</v>
      </c>
      <c r="AK37" s="1"/>
      <c r="AL37" s="53"/>
      <c r="AM37" s="53">
        <f t="shared" si="17"/>
        <v>9463890.6707449984</v>
      </c>
      <c r="AN37" s="53" t="e">
        <f>#REF!-AM37</f>
        <v>#REF!</v>
      </c>
      <c r="AO37" s="53"/>
    </row>
    <row r="38" spans="1:41" ht="15.75" thickTop="1">
      <c r="A38" s="2">
        <v>6002</v>
      </c>
      <c r="B38" s="108" t="s">
        <v>46</v>
      </c>
      <c r="C38" s="130"/>
      <c r="D38" s="49">
        <f>C38/C12</f>
        <v>0</v>
      </c>
      <c r="E38" s="43"/>
      <c r="F38" s="49">
        <f>E38/E12</f>
        <v>0</v>
      </c>
      <c r="G38" s="80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68">
        <f>Y38/Y12</f>
        <v>0</v>
      </c>
      <c r="AA38" s="275">
        <f>C38+E38+G38+I38+K38+M38+O38+Q38+S38+U38+W38+Y38</f>
        <v>0</v>
      </c>
      <c r="AB38" s="203">
        <f>AA38/AA12</f>
        <v>0</v>
      </c>
      <c r="AC38" s="194">
        <v>0</v>
      </c>
      <c r="AD38" s="203">
        <f>AC38/AC12</f>
        <v>0</v>
      </c>
      <c r="AE38" s="75"/>
      <c r="AF38" s="158"/>
      <c r="AG38" s="75"/>
      <c r="AH38" s="194">
        <v>0</v>
      </c>
      <c r="AI38" s="244">
        <f>AH38/AH12</f>
        <v>0</v>
      </c>
      <c r="AJ38" s="282">
        <f t="shared" si="16"/>
        <v>0</v>
      </c>
      <c r="AK38" s="1"/>
      <c r="AL38" s="53"/>
      <c r="AM38" s="53">
        <f t="shared" si="17"/>
        <v>0</v>
      </c>
      <c r="AN38" s="53" t="e">
        <f>#REF!-AM38</f>
        <v>#REF!</v>
      </c>
      <c r="AO38" s="53"/>
    </row>
    <row r="39" spans="1:41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18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68">
        <f>Y39/Y12</f>
        <v>0</v>
      </c>
      <c r="AA39" s="275">
        <f>C39+E39+G39+I39+K39+M39+O39+Q39+S39+U39+W39+Y39</f>
        <v>0</v>
      </c>
      <c r="AB39" s="203">
        <f>AA39/AA12</f>
        <v>0</v>
      </c>
      <c r="AC39" s="194">
        <v>0</v>
      </c>
      <c r="AD39" s="203">
        <f>AC39/AC12</f>
        <v>0</v>
      </c>
      <c r="AE39" s="75"/>
      <c r="AF39" s="158"/>
      <c r="AG39" s="75"/>
      <c r="AH39" s="194">
        <v>0</v>
      </c>
      <c r="AI39" s="244">
        <f>AH39/AH12</f>
        <v>0</v>
      </c>
      <c r="AJ39" s="282">
        <f t="shared" si="16"/>
        <v>0</v>
      </c>
      <c r="AK39" s="1"/>
      <c r="AL39" s="53"/>
      <c r="AM39" s="53">
        <f t="shared" si="17"/>
        <v>0</v>
      </c>
      <c r="AN39" s="53" t="e">
        <f>#REF!-AM39</f>
        <v>#REF!</v>
      </c>
      <c r="AO39" s="53"/>
    </row>
    <row r="40" spans="1:41">
      <c r="A40" s="2">
        <v>6004</v>
      </c>
      <c r="B40" s="108" t="s">
        <v>1</v>
      </c>
      <c r="C40" s="130"/>
      <c r="D40" s="49">
        <f>C40/C12</f>
        <v>0</v>
      </c>
      <c r="E40" s="43"/>
      <c r="F40" s="49">
        <f>E40/E12</f>
        <v>0</v>
      </c>
      <c r="G40" s="80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68">
        <f>Y40/Y12</f>
        <v>0</v>
      </c>
      <c r="AA40" s="275">
        <f>C40+E40+G40+I40+K40+M40+O40+Q40+S40+U40+W40+Y40</f>
        <v>0</v>
      </c>
      <c r="AB40" s="203">
        <f>AA40/AA12</f>
        <v>0</v>
      </c>
      <c r="AC40" s="194">
        <v>0</v>
      </c>
      <c r="AD40" s="203">
        <f>AC40/AC12</f>
        <v>0</v>
      </c>
      <c r="AE40" s="75"/>
      <c r="AF40" s="158"/>
      <c r="AG40" s="75"/>
      <c r="AH40" s="194">
        <v>0</v>
      </c>
      <c r="AI40" s="244">
        <f>AH40/AH12</f>
        <v>0</v>
      </c>
      <c r="AJ40" s="282">
        <f t="shared" si="16"/>
        <v>0</v>
      </c>
      <c r="AK40" s="1"/>
      <c r="AL40" s="53"/>
      <c r="AM40" s="53">
        <f t="shared" si="17"/>
        <v>0</v>
      </c>
      <c r="AN40" s="53" t="e">
        <f>#REF!-AM40</f>
        <v>#REF!</v>
      </c>
      <c r="AO40" s="53"/>
    </row>
    <row r="41" spans="1:41" ht="15.75" thickBot="1">
      <c r="A41" s="4">
        <v>6099</v>
      </c>
      <c r="B41" s="109" t="s">
        <v>98</v>
      </c>
      <c r="C41" s="27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82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212">
        <f>Y41/Y12</f>
        <v>0</v>
      </c>
      <c r="AA41" s="276">
        <f>SUM(AA38:AA40)</f>
        <v>0</v>
      </c>
      <c r="AB41" s="234">
        <f>AA41/AA12</f>
        <v>0</v>
      </c>
      <c r="AC41" s="199">
        <v>0</v>
      </c>
      <c r="AD41" s="234">
        <f>AC41/AC12</f>
        <v>0</v>
      </c>
      <c r="AE41" s="75"/>
      <c r="AF41" s="158"/>
      <c r="AG41" s="75"/>
      <c r="AH41" s="199">
        <v>0</v>
      </c>
      <c r="AI41" s="248">
        <f>AH41/AH12</f>
        <v>0</v>
      </c>
      <c r="AJ41" s="282">
        <f t="shared" si="16"/>
        <v>0</v>
      </c>
      <c r="AK41" s="1"/>
      <c r="AL41" s="53"/>
      <c r="AM41" s="53">
        <f t="shared" si="17"/>
        <v>0</v>
      </c>
      <c r="AN41" s="53" t="e">
        <f>#REF!-AM41</f>
        <v>#REF!</v>
      </c>
      <c r="AO41" s="53"/>
    </row>
    <row r="42" spans="1:41" ht="15.75" thickTop="1">
      <c r="A42" s="98">
        <v>6101</v>
      </c>
      <c r="B42" s="107" t="s">
        <v>2</v>
      </c>
      <c r="C42" s="130">
        <v>7587.33</v>
      </c>
      <c r="D42" s="49">
        <f>C42/C12</f>
        <v>2.9990513496527545E-2</v>
      </c>
      <c r="E42" s="130">
        <v>7500</v>
      </c>
      <c r="F42" s="49">
        <f>E42/E12</f>
        <v>4.5262698279329563E-2</v>
      </c>
      <c r="G42" s="130">
        <v>7500</v>
      </c>
      <c r="H42" s="49">
        <f>G42/G12</f>
        <v>3.8381208218006391E-2</v>
      </c>
      <c r="I42" s="130">
        <v>7500</v>
      </c>
      <c r="J42" s="49">
        <f>I42/I12</f>
        <v>3.4941610240195632E-2</v>
      </c>
      <c r="K42" s="130">
        <v>7500</v>
      </c>
      <c r="L42" s="49">
        <f>K42/K12</f>
        <v>3.9314495787402454E-2</v>
      </c>
      <c r="M42" s="130">
        <v>7500</v>
      </c>
      <c r="N42" s="49">
        <f>M42/M12</f>
        <v>3.701147818355266E-2</v>
      </c>
      <c r="O42" s="130">
        <v>7500</v>
      </c>
      <c r="P42" s="49">
        <f>O42/O12</f>
        <v>3.9081672129731869E-2</v>
      </c>
      <c r="Q42" s="130">
        <v>7500</v>
      </c>
      <c r="R42" s="49">
        <f>Q42/Q12</f>
        <v>4.1671017128185044E-2</v>
      </c>
      <c r="S42" s="130">
        <v>7500</v>
      </c>
      <c r="T42" s="49">
        <f>S42/S12</f>
        <v>4.6133370954709006E-2</v>
      </c>
      <c r="U42" s="130">
        <v>7500</v>
      </c>
      <c r="V42" s="49">
        <f>U42/U12</f>
        <v>3.2337093501654091E-2</v>
      </c>
      <c r="W42" s="130">
        <v>7500</v>
      </c>
      <c r="X42" s="49">
        <f>W42/W12</f>
        <v>4.8343097435901039E-2</v>
      </c>
      <c r="Y42" s="130">
        <v>7500</v>
      </c>
      <c r="Z42" s="168">
        <f>Y42/Y12</f>
        <v>3.4729968391231894E-2</v>
      </c>
      <c r="AA42" s="275">
        <f t="shared" ref="AA42:AA69" si="19">C42+E42+G42+I42+K42+M42+O42+Q42+S42+U42+W42+Y42</f>
        <v>90087.33</v>
      </c>
      <c r="AB42" s="203">
        <f>AA42/AA12</f>
        <v>3.8178497642252812E-2</v>
      </c>
      <c r="AC42" s="194">
        <v>90000</v>
      </c>
      <c r="AD42" s="203">
        <f>AC42/AC12</f>
        <v>0.11176928732735603</v>
      </c>
      <c r="AE42" s="75"/>
      <c r="AF42" s="158"/>
      <c r="AG42" s="75"/>
      <c r="AH42" s="194">
        <v>90000</v>
      </c>
      <c r="AI42" s="244">
        <f>AH42/AH12</f>
        <v>0.11176928732735603</v>
      </c>
      <c r="AJ42" s="282">
        <f t="shared" si="16"/>
        <v>270087.33</v>
      </c>
      <c r="AK42" s="1"/>
      <c r="AL42" s="53"/>
      <c r="AM42" s="53">
        <f t="shared" si="17"/>
        <v>705000</v>
      </c>
      <c r="AN42" s="53" t="e">
        <f>#REF!-AM42</f>
        <v>#REF!</v>
      </c>
      <c r="AO42" s="53"/>
    </row>
    <row r="43" spans="1:41">
      <c r="A43" s="98">
        <v>6102</v>
      </c>
      <c r="B43" s="107" t="s">
        <v>3</v>
      </c>
      <c r="C43" s="134">
        <v>800</v>
      </c>
      <c r="D43" s="49">
        <f>C43/C12</f>
        <v>3.1621678241518475E-3</v>
      </c>
      <c r="E43" s="134">
        <v>2000</v>
      </c>
      <c r="F43" s="49">
        <f>E43/E12</f>
        <v>1.2070052874487884E-2</v>
      </c>
      <c r="G43" s="134">
        <v>2000</v>
      </c>
      <c r="H43" s="49">
        <f>G43/G12</f>
        <v>1.0234988858135037E-2</v>
      </c>
      <c r="I43" s="134">
        <v>2000</v>
      </c>
      <c r="J43" s="49">
        <f>I43/I12</f>
        <v>9.3177627307188347E-3</v>
      </c>
      <c r="K43" s="134">
        <v>2000</v>
      </c>
      <c r="L43" s="49">
        <f>K43/K12</f>
        <v>1.0483865543307321E-2</v>
      </c>
      <c r="M43" s="134">
        <v>2000</v>
      </c>
      <c r="N43" s="49">
        <f>M43/M12</f>
        <v>9.8697275156140411E-3</v>
      </c>
      <c r="O43" s="134">
        <v>2000</v>
      </c>
      <c r="P43" s="49">
        <f>O43/O12</f>
        <v>1.0421779234595165E-2</v>
      </c>
      <c r="Q43" s="134">
        <v>2000</v>
      </c>
      <c r="R43" s="49">
        <f>Q43/Q12</f>
        <v>1.1112271234182677E-2</v>
      </c>
      <c r="S43" s="134">
        <v>2000</v>
      </c>
      <c r="T43" s="49">
        <f>S43/S12</f>
        <v>1.2302232254589068E-2</v>
      </c>
      <c r="U43" s="134">
        <v>2000</v>
      </c>
      <c r="V43" s="49">
        <f>U43/U12</f>
        <v>8.6232249337744246E-3</v>
      </c>
      <c r="W43" s="134">
        <v>2000</v>
      </c>
      <c r="X43" s="49">
        <f>W43/W12</f>
        <v>1.2891492649573609E-2</v>
      </c>
      <c r="Y43" s="134">
        <v>2000</v>
      </c>
      <c r="Z43" s="168">
        <f>Y43/Y12</f>
        <v>9.261324904328504E-3</v>
      </c>
      <c r="AA43" s="275">
        <f t="shared" si="19"/>
        <v>22800</v>
      </c>
      <c r="AB43" s="203">
        <f>AA43/AA12</f>
        <v>9.6625102136267561E-3</v>
      </c>
      <c r="AC43" s="195">
        <v>23000</v>
      </c>
      <c r="AD43" s="203">
        <f>AC43/AC12</f>
        <v>2.8563262316990985E-2</v>
      </c>
      <c r="AE43" s="75"/>
      <c r="AF43" s="158"/>
      <c r="AG43" s="75"/>
      <c r="AH43" s="195">
        <v>23000</v>
      </c>
      <c r="AI43" s="244">
        <f>AH43/AH12</f>
        <v>2.8563262316990985E-2</v>
      </c>
      <c r="AJ43" s="282">
        <f t="shared" si="16"/>
        <v>68800</v>
      </c>
      <c r="AK43" s="1"/>
      <c r="AL43" s="53"/>
      <c r="AM43" s="53">
        <f t="shared" si="17"/>
        <v>188000</v>
      </c>
      <c r="AN43" s="53" t="e">
        <f>#REF!-AM43</f>
        <v>#REF!</v>
      </c>
      <c r="AO43" s="53"/>
    </row>
    <row r="44" spans="1:41">
      <c r="A44" s="98">
        <v>6103</v>
      </c>
      <c r="B44" s="107" t="s">
        <v>4</v>
      </c>
      <c r="C44" s="130"/>
      <c r="D44" s="49">
        <f>C44/C12</f>
        <v>0</v>
      </c>
      <c r="E44" s="80"/>
      <c r="F44" s="49">
        <f>E44/E12</f>
        <v>0</v>
      </c>
      <c r="G44" s="80"/>
      <c r="H44" s="49">
        <f>G44/G12</f>
        <v>0</v>
      </c>
      <c r="I44" s="130">
        <v>0</v>
      </c>
      <c r="J44" s="49">
        <f>I44/I12</f>
        <v>0</v>
      </c>
      <c r="K44" s="80">
        <v>0</v>
      </c>
      <c r="L44" s="49">
        <f>K44/K12</f>
        <v>0</v>
      </c>
      <c r="M44" s="130"/>
      <c r="N44" s="49">
        <f>M44/M12</f>
        <v>0</v>
      </c>
      <c r="O44" s="130"/>
      <c r="P44" s="49">
        <f>O44/O12</f>
        <v>0</v>
      </c>
      <c r="Q44" s="130">
        <v>0</v>
      </c>
      <c r="R44" s="49">
        <f>Q44/Q12</f>
        <v>0</v>
      </c>
      <c r="S44" s="130"/>
      <c r="T44" s="49">
        <f>S44/S12</f>
        <v>0</v>
      </c>
      <c r="U44" s="80">
        <v>0</v>
      </c>
      <c r="V44" s="49">
        <f>U44/U12</f>
        <v>0</v>
      </c>
      <c r="W44" s="80"/>
      <c r="X44" s="49">
        <f>W44/W12</f>
        <v>0</v>
      </c>
      <c r="Y44" s="80"/>
      <c r="Z44" s="168">
        <f>Y44/Y12</f>
        <v>0</v>
      </c>
      <c r="AA44" s="275">
        <f t="shared" si="19"/>
        <v>0</v>
      </c>
      <c r="AB44" s="203">
        <f>AA44/AA12</f>
        <v>0</v>
      </c>
      <c r="AC44" s="194">
        <v>0</v>
      </c>
      <c r="AD44" s="203">
        <f>AC44/AC12</f>
        <v>0</v>
      </c>
      <c r="AE44" s="75"/>
      <c r="AF44" s="158"/>
      <c r="AG44" s="75"/>
      <c r="AH44" s="194">
        <v>0</v>
      </c>
      <c r="AI44" s="244">
        <f>AH44/AH12</f>
        <v>0</v>
      </c>
      <c r="AJ44" s="282">
        <f t="shared" si="16"/>
        <v>0</v>
      </c>
      <c r="AK44" s="1"/>
      <c r="AL44" s="53"/>
      <c r="AM44" s="53">
        <f t="shared" si="17"/>
        <v>0</v>
      </c>
      <c r="AN44" s="53" t="e">
        <f>#REF!-AM44</f>
        <v>#REF!</v>
      </c>
      <c r="AO44" s="53"/>
    </row>
    <row r="45" spans="1:41">
      <c r="A45" s="98">
        <v>6104</v>
      </c>
      <c r="B45" s="107" t="s">
        <v>5</v>
      </c>
      <c r="C45" s="134">
        <v>159.62899999999999</v>
      </c>
      <c r="D45" s="49">
        <f>C45/C12</f>
        <v>6.30967109501919E-4</v>
      </c>
      <c r="E45" s="134">
        <v>200</v>
      </c>
      <c r="F45" s="49">
        <f>E45/E12</f>
        <v>1.2070052874487884E-3</v>
      </c>
      <c r="G45" s="134">
        <v>200</v>
      </c>
      <c r="H45" s="49">
        <f>G45/G12</f>
        <v>1.0234988858135038E-3</v>
      </c>
      <c r="I45" s="134">
        <v>200</v>
      </c>
      <c r="J45" s="49">
        <f>I45/I12</f>
        <v>9.3177627307188351E-4</v>
      </c>
      <c r="K45" s="134">
        <v>200</v>
      </c>
      <c r="L45" s="49">
        <f>K45/K12</f>
        <v>1.048386554330732E-3</v>
      </c>
      <c r="M45" s="134">
        <v>200</v>
      </c>
      <c r="N45" s="49">
        <f>M45/M12</f>
        <v>9.8697275156140428E-4</v>
      </c>
      <c r="O45" s="134">
        <v>200</v>
      </c>
      <c r="P45" s="49">
        <f>O45/O12</f>
        <v>1.0421779234595166E-3</v>
      </c>
      <c r="Q45" s="134">
        <v>200</v>
      </c>
      <c r="R45" s="49">
        <f>Q45/Q12</f>
        <v>1.1112271234182678E-3</v>
      </c>
      <c r="S45" s="134">
        <v>200</v>
      </c>
      <c r="T45" s="49">
        <f>S45/S12</f>
        <v>1.2302232254589069E-3</v>
      </c>
      <c r="U45" s="134">
        <v>200</v>
      </c>
      <c r="V45" s="49">
        <f>U45/U12</f>
        <v>8.6232249337744242E-4</v>
      </c>
      <c r="W45" s="134">
        <v>200</v>
      </c>
      <c r="X45" s="49">
        <f>W45/W12</f>
        <v>1.289149264957361E-3</v>
      </c>
      <c r="Y45" s="134">
        <v>200</v>
      </c>
      <c r="Z45" s="168">
        <f>Y45/Y12</f>
        <v>9.2613249043285045E-4</v>
      </c>
      <c r="AA45" s="275">
        <f t="shared" si="19"/>
        <v>2359.6289999999999</v>
      </c>
      <c r="AB45" s="203">
        <f>AA45/AA12</f>
        <v>9.9999733828376697E-4</v>
      </c>
      <c r="AC45" s="196">
        <v>2359.6289999999999</v>
      </c>
      <c r="AD45" s="203">
        <f>AC45/AC12</f>
        <v>2.9303783520773529E-3</v>
      </c>
      <c r="AE45" s="75"/>
      <c r="AF45" s="158"/>
      <c r="AG45" s="75"/>
      <c r="AH45" s="196">
        <v>2359.6289999999999</v>
      </c>
      <c r="AI45" s="244">
        <f>AH45/AH12</f>
        <v>2.9303783520773529E-3</v>
      </c>
      <c r="AJ45" s="282">
        <f t="shared" si="16"/>
        <v>7078.8869999999997</v>
      </c>
      <c r="AK45" s="1"/>
      <c r="AL45" s="53"/>
      <c r="AM45" s="53">
        <f t="shared" si="17"/>
        <v>18800</v>
      </c>
      <c r="AN45" s="53" t="e">
        <f>#REF!-AM45</f>
        <v>#REF!</v>
      </c>
      <c r="AO45" s="53"/>
    </row>
    <row r="46" spans="1:41">
      <c r="A46" s="98">
        <v>6105</v>
      </c>
      <c r="B46" s="107" t="s">
        <v>6</v>
      </c>
      <c r="C46" s="134"/>
      <c r="D46" s="49">
        <f>C46/C12</f>
        <v>0</v>
      </c>
      <c r="E46" s="54"/>
      <c r="F46" s="49">
        <f>E46/E12</f>
        <v>0</v>
      </c>
      <c r="G46" s="79"/>
      <c r="H46" s="49">
        <f>G46/G12</f>
        <v>0</v>
      </c>
      <c r="I46" s="23"/>
      <c r="J46" s="49">
        <f>I46/I12</f>
        <v>0</v>
      </c>
      <c r="K46" s="54"/>
      <c r="L46" s="49">
        <f>K46/K12</f>
        <v>0</v>
      </c>
      <c r="M46" s="23"/>
      <c r="N46" s="49">
        <f>M46/M12</f>
        <v>0</v>
      </c>
      <c r="O46" s="23"/>
      <c r="P46" s="49">
        <f>O46/O12</f>
        <v>0</v>
      </c>
      <c r="Q46" s="23"/>
      <c r="R46" s="49">
        <f>Q46/Q12</f>
        <v>0</v>
      </c>
      <c r="S46" s="23">
        <v>0</v>
      </c>
      <c r="T46" s="49">
        <f>S46/S12</f>
        <v>0</v>
      </c>
      <c r="U46" s="54"/>
      <c r="V46" s="49">
        <f>U46/U12</f>
        <v>0</v>
      </c>
      <c r="W46" s="32"/>
      <c r="X46" s="49">
        <f>W46/W12</f>
        <v>0</v>
      </c>
      <c r="Y46" s="54">
        <v>0</v>
      </c>
      <c r="Z46" s="168">
        <f>Y46/Y12</f>
        <v>0</v>
      </c>
      <c r="AA46" s="275">
        <f t="shared" si="19"/>
        <v>0</v>
      </c>
      <c r="AB46" s="203">
        <f>AA46/AA12</f>
        <v>0</v>
      </c>
      <c r="AC46" s="196">
        <v>0</v>
      </c>
      <c r="AD46" s="203">
        <f>AC46/AC12</f>
        <v>0</v>
      </c>
      <c r="AE46" s="75"/>
      <c r="AF46" s="158"/>
      <c r="AG46" s="75"/>
      <c r="AH46" s="196">
        <v>0</v>
      </c>
      <c r="AI46" s="244">
        <f>AH46/AH12</f>
        <v>0</v>
      </c>
      <c r="AJ46" s="282">
        <f t="shared" si="16"/>
        <v>0</v>
      </c>
      <c r="AK46" s="1"/>
      <c r="AL46" s="53"/>
      <c r="AM46" s="53">
        <f t="shared" si="17"/>
        <v>0</v>
      </c>
      <c r="AN46" s="53" t="e">
        <f>#REF!-AM46</f>
        <v>#REF!</v>
      </c>
      <c r="AO46" s="53"/>
    </row>
    <row r="47" spans="1:41">
      <c r="A47" s="98">
        <v>6106</v>
      </c>
      <c r="B47" s="107" t="s">
        <v>7</v>
      </c>
      <c r="C47" s="23"/>
      <c r="D47" s="49">
        <f>C47/C12</f>
        <v>0</v>
      </c>
      <c r="E47" s="23"/>
      <c r="F47" s="49">
        <f>E47/E12</f>
        <v>0</v>
      </c>
      <c r="G47" s="23"/>
      <c r="H47" s="49">
        <f>G47/G12</f>
        <v>0</v>
      </c>
      <c r="I47" s="23"/>
      <c r="J47" s="49">
        <f>I47/I12</f>
        <v>0</v>
      </c>
      <c r="K47" s="23"/>
      <c r="L47" s="49">
        <f>K47/K12</f>
        <v>0</v>
      </c>
      <c r="M47" s="23">
        <v>0</v>
      </c>
      <c r="N47" s="49">
        <f>M47/M12</f>
        <v>0</v>
      </c>
      <c r="O47" s="23">
        <v>0</v>
      </c>
      <c r="P47" s="49">
        <f>O47/O12</f>
        <v>0</v>
      </c>
      <c r="Q47" s="23">
        <v>0</v>
      </c>
      <c r="R47" s="49">
        <f>Q47/Q12</f>
        <v>0</v>
      </c>
      <c r="S47" s="23">
        <v>0</v>
      </c>
      <c r="T47" s="49">
        <f>S47/S12</f>
        <v>0</v>
      </c>
      <c r="U47" s="23">
        <v>0</v>
      </c>
      <c r="V47" s="49">
        <f>U47/U12</f>
        <v>0</v>
      </c>
      <c r="W47" s="23"/>
      <c r="X47" s="49">
        <f>W47/W12</f>
        <v>0</v>
      </c>
      <c r="Y47" s="23"/>
      <c r="Z47" s="168">
        <f>Y47/Y12</f>
        <v>0</v>
      </c>
      <c r="AA47" s="275">
        <f t="shared" si="19"/>
        <v>0</v>
      </c>
      <c r="AB47" s="203">
        <f>AA47/AA12</f>
        <v>0</v>
      </c>
      <c r="AC47" s="196">
        <v>0</v>
      </c>
      <c r="AD47" s="203">
        <f>AC47/AC12</f>
        <v>0</v>
      </c>
      <c r="AE47" s="75"/>
      <c r="AF47" s="158"/>
      <c r="AG47" s="75"/>
      <c r="AH47" s="196">
        <v>0</v>
      </c>
      <c r="AI47" s="244">
        <f>AH47/AH12</f>
        <v>0</v>
      </c>
      <c r="AJ47" s="282">
        <f t="shared" si="16"/>
        <v>0</v>
      </c>
      <c r="AK47" s="1"/>
      <c r="AL47" s="53"/>
      <c r="AM47" s="53">
        <f t="shared" si="17"/>
        <v>0</v>
      </c>
      <c r="AN47" s="53" t="e">
        <f>#REF!-AM47</f>
        <v>#REF!</v>
      </c>
      <c r="AO47" s="53"/>
    </row>
    <row r="48" spans="1:41">
      <c r="A48" s="98">
        <v>6107</v>
      </c>
      <c r="B48" s="107" t="s">
        <v>8</v>
      </c>
      <c r="C48" s="23"/>
      <c r="D48" s="49">
        <f>C48/C12</f>
        <v>0</v>
      </c>
      <c r="E48" s="23"/>
      <c r="F48" s="49">
        <f>E48/E12</f>
        <v>0</v>
      </c>
      <c r="G48" s="23"/>
      <c r="H48" s="49">
        <f>G48/G12</f>
        <v>0</v>
      </c>
      <c r="I48" s="23"/>
      <c r="J48" s="49">
        <f>I48/I12</f>
        <v>0</v>
      </c>
      <c r="K48" s="23"/>
      <c r="L48" s="49">
        <f>K48/K12</f>
        <v>0</v>
      </c>
      <c r="M48" s="23">
        <v>0</v>
      </c>
      <c r="N48" s="49">
        <f>M48/M12</f>
        <v>0</v>
      </c>
      <c r="O48" s="23">
        <v>0</v>
      </c>
      <c r="P48" s="49">
        <f>O48/O12</f>
        <v>0</v>
      </c>
      <c r="Q48" s="23"/>
      <c r="R48" s="49">
        <f>Q48/Q12</f>
        <v>0</v>
      </c>
      <c r="S48" s="23"/>
      <c r="T48" s="49">
        <f>S48/S12</f>
        <v>0</v>
      </c>
      <c r="U48" s="23"/>
      <c r="V48" s="49">
        <f>U48/U12</f>
        <v>0</v>
      </c>
      <c r="W48" s="23"/>
      <c r="X48" s="49">
        <f>W48/W12</f>
        <v>0</v>
      </c>
      <c r="Y48" s="23"/>
      <c r="Z48" s="168">
        <f>Y48/Y12</f>
        <v>0</v>
      </c>
      <c r="AA48" s="275">
        <f t="shared" si="19"/>
        <v>0</v>
      </c>
      <c r="AB48" s="203">
        <f>AA48/AA12</f>
        <v>0</v>
      </c>
      <c r="AC48" s="196">
        <v>0</v>
      </c>
      <c r="AD48" s="203">
        <f>AC48/AC12</f>
        <v>0</v>
      </c>
      <c r="AE48" s="75"/>
      <c r="AF48" s="158"/>
      <c r="AG48" s="75"/>
      <c r="AH48" s="196">
        <v>0</v>
      </c>
      <c r="AI48" s="244">
        <f>AH48/AH12</f>
        <v>0</v>
      </c>
      <c r="AJ48" s="282">
        <f t="shared" si="16"/>
        <v>0</v>
      </c>
      <c r="AK48" s="1"/>
      <c r="AL48" s="53"/>
      <c r="AM48" s="53">
        <f t="shared" si="17"/>
        <v>0</v>
      </c>
      <c r="AN48" s="53" t="e">
        <f>#REF!-AM48</f>
        <v>#REF!</v>
      </c>
      <c r="AO48" s="53"/>
    </row>
    <row r="49" spans="1:41">
      <c r="A49" s="98">
        <v>6108</v>
      </c>
      <c r="B49" s="107" t="s">
        <v>9</v>
      </c>
      <c r="C49" s="23"/>
      <c r="D49" s="49">
        <f>C49/C12</f>
        <v>0</v>
      </c>
      <c r="E49" s="23"/>
      <c r="F49" s="49">
        <f>E49/E12</f>
        <v>0</v>
      </c>
      <c r="G49" s="23"/>
      <c r="H49" s="49">
        <f>G49/G12</f>
        <v>0</v>
      </c>
      <c r="I49" s="23">
        <v>0</v>
      </c>
      <c r="J49" s="49">
        <f>I49/I12</f>
        <v>0</v>
      </c>
      <c r="K49" s="23">
        <v>0</v>
      </c>
      <c r="L49" s="49">
        <f>K49/K12</f>
        <v>0</v>
      </c>
      <c r="M49" s="23"/>
      <c r="N49" s="49">
        <f>M49/M12</f>
        <v>0</v>
      </c>
      <c r="O49" s="23"/>
      <c r="P49" s="49">
        <f>O49/O12</f>
        <v>0</v>
      </c>
      <c r="Q49" s="23"/>
      <c r="R49" s="49">
        <f>Q49/Q12</f>
        <v>0</v>
      </c>
      <c r="S49" s="23"/>
      <c r="T49" s="49">
        <f>S49/S12</f>
        <v>0</v>
      </c>
      <c r="U49" s="23"/>
      <c r="V49" s="49">
        <f>U49/U12</f>
        <v>0</v>
      </c>
      <c r="W49" s="23"/>
      <c r="X49" s="49">
        <f>W49/W12</f>
        <v>0</v>
      </c>
      <c r="Y49" s="23"/>
      <c r="Z49" s="168">
        <f>Y49/Y12</f>
        <v>0</v>
      </c>
      <c r="AA49" s="275">
        <f t="shared" si="19"/>
        <v>0</v>
      </c>
      <c r="AB49" s="203">
        <f>AA49/AA12</f>
        <v>0</v>
      </c>
      <c r="AC49" s="196">
        <v>0</v>
      </c>
      <c r="AD49" s="203">
        <f>AC49/AC12</f>
        <v>0</v>
      </c>
      <c r="AE49" s="75"/>
      <c r="AF49" s="158"/>
      <c r="AG49" s="75"/>
      <c r="AH49" s="196">
        <v>0</v>
      </c>
      <c r="AI49" s="244">
        <f>AH49/AH12</f>
        <v>0</v>
      </c>
      <c r="AJ49" s="282">
        <f t="shared" si="16"/>
        <v>0</v>
      </c>
      <c r="AK49" s="1"/>
      <c r="AL49" s="53"/>
      <c r="AM49" s="53">
        <f t="shared" si="17"/>
        <v>0</v>
      </c>
      <c r="AN49" s="53" t="e">
        <f>#REF!-AM49</f>
        <v>#REF!</v>
      </c>
      <c r="AO49" s="53"/>
    </row>
    <row r="50" spans="1:41">
      <c r="A50" s="98">
        <v>6109</v>
      </c>
      <c r="B50" s="107" t="s">
        <v>79</v>
      </c>
      <c r="C50" s="134"/>
      <c r="D50" s="49">
        <f>C50/C12</f>
        <v>0</v>
      </c>
      <c r="E50" s="134"/>
      <c r="F50" s="49">
        <f>E50/E12</f>
        <v>0</v>
      </c>
      <c r="G50" s="134"/>
      <c r="H50" s="49">
        <f>G50/G12</f>
        <v>0</v>
      </c>
      <c r="I50" s="134"/>
      <c r="J50" s="49">
        <f>I50/I12</f>
        <v>0</v>
      </c>
      <c r="K50" s="134"/>
      <c r="L50" s="49">
        <f>K50/K12</f>
        <v>0</v>
      </c>
      <c r="M50" s="134"/>
      <c r="N50" s="49">
        <f>M50/M12</f>
        <v>0</v>
      </c>
      <c r="O50" s="134"/>
      <c r="P50" s="49">
        <f>O50/O12</f>
        <v>0</v>
      </c>
      <c r="Q50" s="134"/>
      <c r="R50" s="49">
        <f>Q50/Q12</f>
        <v>0</v>
      </c>
      <c r="S50" s="134"/>
      <c r="T50" s="49">
        <f>S50/S12</f>
        <v>0</v>
      </c>
      <c r="U50" s="134"/>
      <c r="V50" s="49">
        <f>U50/U12</f>
        <v>0</v>
      </c>
      <c r="W50" s="134"/>
      <c r="X50" s="49">
        <f>W50/W12</f>
        <v>0</v>
      </c>
      <c r="Y50" s="134"/>
      <c r="Z50" s="168">
        <f>Y50/Y12</f>
        <v>0</v>
      </c>
      <c r="AA50" s="275">
        <f t="shared" si="19"/>
        <v>0</v>
      </c>
      <c r="AB50" s="203">
        <f>AA50/AA12</f>
        <v>0</v>
      </c>
      <c r="AC50" s="196">
        <v>0</v>
      </c>
      <c r="AD50" s="203">
        <f>AC50/AC12</f>
        <v>0</v>
      </c>
      <c r="AE50" s="75"/>
      <c r="AF50" s="158"/>
      <c r="AG50" s="75"/>
      <c r="AH50" s="196">
        <v>0</v>
      </c>
      <c r="AI50" s="244">
        <f>AH50/AH12</f>
        <v>0</v>
      </c>
      <c r="AJ50" s="282">
        <f t="shared" si="16"/>
        <v>0</v>
      </c>
      <c r="AK50" s="1"/>
      <c r="AL50" s="53"/>
      <c r="AM50" s="53">
        <f t="shared" si="17"/>
        <v>0</v>
      </c>
      <c r="AN50" s="53" t="e">
        <f>#REF!-AM50</f>
        <v>#REF!</v>
      </c>
      <c r="AO50" s="53"/>
    </row>
    <row r="51" spans="1:41">
      <c r="A51" s="98">
        <v>6110</v>
      </c>
      <c r="B51" s="107" t="s">
        <v>10</v>
      </c>
      <c r="C51" s="23">
        <v>13</v>
      </c>
      <c r="D51" s="49">
        <f>C111/C12</f>
        <v>5.929064670284714E-5</v>
      </c>
      <c r="E51" s="23">
        <v>50</v>
      </c>
      <c r="F51" s="49">
        <f>E111/E12</f>
        <v>0</v>
      </c>
      <c r="G51" s="23">
        <v>50</v>
      </c>
      <c r="H51" s="49">
        <f>G111/G12</f>
        <v>0</v>
      </c>
      <c r="I51" s="23">
        <v>50</v>
      </c>
      <c r="J51" s="49">
        <f>I111/I12</f>
        <v>0</v>
      </c>
      <c r="K51" s="23">
        <v>50</v>
      </c>
      <c r="L51" s="49">
        <f>K111/K12</f>
        <v>0</v>
      </c>
      <c r="M51" s="23">
        <v>50</v>
      </c>
      <c r="N51" s="49">
        <f>M111/M12</f>
        <v>0</v>
      </c>
      <c r="O51" s="23">
        <v>50</v>
      </c>
      <c r="P51" s="49">
        <f>O111/O12</f>
        <v>0</v>
      </c>
      <c r="Q51" s="23">
        <v>50</v>
      </c>
      <c r="R51" s="49">
        <f>Q111/Q12</f>
        <v>0</v>
      </c>
      <c r="S51" s="23">
        <v>50</v>
      </c>
      <c r="T51" s="49">
        <f>S111/S12</f>
        <v>0</v>
      </c>
      <c r="U51" s="23">
        <v>50</v>
      </c>
      <c r="V51" s="49">
        <f>U111/U12</f>
        <v>0</v>
      </c>
      <c r="W51" s="23">
        <v>50</v>
      </c>
      <c r="X51" s="49">
        <f>W111/W12</f>
        <v>0</v>
      </c>
      <c r="Y51" s="23">
        <v>30</v>
      </c>
      <c r="Z51" s="168">
        <f>Y51/Y$12</f>
        <v>1.3891987356492758E-4</v>
      </c>
      <c r="AA51" s="275">
        <f t="shared" si="19"/>
        <v>543</v>
      </c>
      <c r="AB51" s="203">
        <f>AA51/AA12</f>
        <v>2.3012030903505826E-4</v>
      </c>
      <c r="AC51" s="196">
        <v>600</v>
      </c>
      <c r="AD51" s="203">
        <f>AC51/AC12</f>
        <v>7.4512858218237356E-4</v>
      </c>
      <c r="AE51" s="75"/>
      <c r="AF51" s="158"/>
      <c r="AG51" s="75"/>
      <c r="AH51" s="196">
        <v>600</v>
      </c>
      <c r="AI51" s="244">
        <f>AH51/AH12</f>
        <v>7.4512858218237356E-4</v>
      </c>
      <c r="AJ51" s="282">
        <f t="shared" si="16"/>
        <v>1743</v>
      </c>
      <c r="AK51" s="1"/>
      <c r="AL51" s="53"/>
      <c r="AM51" s="53">
        <f t="shared" si="17"/>
        <v>4512</v>
      </c>
      <c r="AN51" s="53" t="e">
        <f>#REF!-AM51</f>
        <v>#REF!</v>
      </c>
      <c r="AO51" s="53"/>
    </row>
    <row r="52" spans="1:41">
      <c r="A52" s="98">
        <v>6111</v>
      </c>
      <c r="B52" s="107" t="s">
        <v>11</v>
      </c>
      <c r="C52" s="130"/>
      <c r="D52" s="49">
        <f>C52/C12</f>
        <v>0</v>
      </c>
      <c r="E52" s="80"/>
      <c r="F52" s="49">
        <f>E52/E12</f>
        <v>0</v>
      </c>
      <c r="G52" s="80"/>
      <c r="H52" s="49">
        <f>G52/G12</f>
        <v>0</v>
      </c>
      <c r="I52" s="130"/>
      <c r="J52" s="49">
        <f>I52/I12</f>
        <v>0</v>
      </c>
      <c r="K52" s="80"/>
      <c r="L52" s="49">
        <f>K52/K12</f>
        <v>0</v>
      </c>
      <c r="M52" s="130"/>
      <c r="N52" s="49">
        <f>M52/M12</f>
        <v>0</v>
      </c>
      <c r="O52" s="130"/>
      <c r="P52" s="49">
        <f>O52/O12</f>
        <v>0</v>
      </c>
      <c r="Q52" s="130"/>
      <c r="R52" s="49">
        <f>Q52/Q12</f>
        <v>0</v>
      </c>
      <c r="S52" s="130"/>
      <c r="T52" s="49">
        <f>S52/S12</f>
        <v>0</v>
      </c>
      <c r="U52" s="80"/>
      <c r="V52" s="49">
        <f>U52/U12</f>
        <v>0</v>
      </c>
      <c r="W52" s="80"/>
      <c r="X52" s="49">
        <f>W52/W12</f>
        <v>0</v>
      </c>
      <c r="Y52" s="80"/>
      <c r="Z52" s="168">
        <f>Y52/Y12</f>
        <v>0</v>
      </c>
      <c r="AA52" s="275">
        <f t="shared" si="19"/>
        <v>0</v>
      </c>
      <c r="AB52" s="203">
        <f>AA52/AA12</f>
        <v>0</v>
      </c>
      <c r="AC52" s="194">
        <v>0</v>
      </c>
      <c r="AD52" s="203">
        <f>AC52/AC12</f>
        <v>0</v>
      </c>
      <c r="AE52" s="75"/>
      <c r="AF52" s="158"/>
      <c r="AG52" s="75"/>
      <c r="AH52" s="194">
        <v>0</v>
      </c>
      <c r="AI52" s="244">
        <f>AH52/AH12</f>
        <v>0</v>
      </c>
      <c r="AJ52" s="282">
        <f t="shared" si="16"/>
        <v>0</v>
      </c>
      <c r="AK52" s="1"/>
      <c r="AL52" s="53"/>
      <c r="AM52" s="53">
        <f t="shared" si="17"/>
        <v>0</v>
      </c>
      <c r="AN52" s="53" t="e">
        <f>#REF!-AM52</f>
        <v>#REF!</v>
      </c>
      <c r="AO52" s="53"/>
    </row>
    <row r="53" spans="1:41">
      <c r="A53" s="98">
        <v>6112</v>
      </c>
      <c r="B53" s="107" t="s">
        <v>12</v>
      </c>
      <c r="C53" s="130">
        <v>430</v>
      </c>
      <c r="D53" s="49">
        <f>C53/C12</f>
        <v>1.699665205481618E-3</v>
      </c>
      <c r="E53" s="130">
        <v>430</v>
      </c>
      <c r="F53" s="49">
        <f>E53/E12</f>
        <v>2.5950613680148951E-3</v>
      </c>
      <c r="G53" s="130">
        <v>430</v>
      </c>
      <c r="H53" s="49">
        <f>G53/G12</f>
        <v>2.2005226044990332E-3</v>
      </c>
      <c r="I53" s="130">
        <v>430</v>
      </c>
      <c r="J53" s="49">
        <f>I53/I12</f>
        <v>2.0033189871045496E-3</v>
      </c>
      <c r="K53" s="130">
        <v>430</v>
      </c>
      <c r="L53" s="49">
        <f>K53/K12</f>
        <v>2.254031091811074E-3</v>
      </c>
      <c r="M53" s="130">
        <v>430</v>
      </c>
      <c r="N53" s="49">
        <f>M53/M12</f>
        <v>2.1219914158570191E-3</v>
      </c>
      <c r="O53" s="130">
        <v>430</v>
      </c>
      <c r="P53" s="49">
        <f>O53/O12</f>
        <v>2.2406825354379604E-3</v>
      </c>
      <c r="Q53" s="130">
        <v>430</v>
      </c>
      <c r="R53" s="49">
        <f>Q53/Q12</f>
        <v>2.3891383153492756E-3</v>
      </c>
      <c r="S53" s="130">
        <v>430</v>
      </c>
      <c r="T53" s="49">
        <f>S53/S12</f>
        <v>2.6449799347366496E-3</v>
      </c>
      <c r="U53" s="130">
        <v>430</v>
      </c>
      <c r="V53" s="49">
        <f>U53/U12</f>
        <v>1.8539933607615011E-3</v>
      </c>
      <c r="W53" s="130">
        <v>430</v>
      </c>
      <c r="X53" s="49">
        <f>W53/W12</f>
        <v>2.771670919658326E-3</v>
      </c>
      <c r="Y53" s="130">
        <v>430</v>
      </c>
      <c r="Z53" s="168">
        <f>Y53/Y12</f>
        <v>1.9911848544306283E-3</v>
      </c>
      <c r="AA53" s="275">
        <f t="shared" si="19"/>
        <v>5160</v>
      </c>
      <c r="AB53" s="203">
        <f>AA53/AA12</f>
        <v>2.1867786272944762E-3</v>
      </c>
      <c r="AC53" s="194">
        <v>5160</v>
      </c>
      <c r="AD53" s="203">
        <f>AC53/AC12</f>
        <v>6.4081058067684124E-3</v>
      </c>
      <c r="AE53" s="75"/>
      <c r="AF53" s="158"/>
      <c r="AG53" s="75"/>
      <c r="AH53" s="194">
        <v>5160</v>
      </c>
      <c r="AI53" s="244">
        <f>AH53/AH12</f>
        <v>6.4081058067684124E-3</v>
      </c>
      <c r="AJ53" s="282">
        <f t="shared" si="16"/>
        <v>15480</v>
      </c>
      <c r="AK53" s="1"/>
      <c r="AL53" s="53"/>
      <c r="AM53" s="53">
        <f t="shared" si="17"/>
        <v>40420</v>
      </c>
      <c r="AN53" s="53" t="e">
        <f>#REF!-AM53</f>
        <v>#REF!</v>
      </c>
      <c r="AO53" s="53"/>
    </row>
    <row r="54" spans="1:41">
      <c r="A54" s="98">
        <v>6113</v>
      </c>
      <c r="B54" s="107" t="s">
        <v>13</v>
      </c>
      <c r="C54" s="130"/>
      <c r="D54" s="49">
        <f>C54/C12</f>
        <v>0</v>
      </c>
      <c r="E54" s="43"/>
      <c r="F54" s="49">
        <f>E54/E12</f>
        <v>0</v>
      </c>
      <c r="G54" s="80"/>
      <c r="H54" s="49">
        <f>G54/G12</f>
        <v>0</v>
      </c>
      <c r="I54" s="18"/>
      <c r="J54" s="49">
        <f>I54/I12</f>
        <v>0</v>
      </c>
      <c r="K54" s="43"/>
      <c r="L54" s="49">
        <f>K54/K12</f>
        <v>0</v>
      </c>
      <c r="M54" s="18"/>
      <c r="N54" s="49">
        <f>M54/M12</f>
        <v>0</v>
      </c>
      <c r="O54" s="18"/>
      <c r="P54" s="49">
        <f>O54/O12</f>
        <v>0</v>
      </c>
      <c r="Q54" s="18">
        <v>0</v>
      </c>
      <c r="R54" s="49">
        <f>Q54/Q12</f>
        <v>0</v>
      </c>
      <c r="S54" s="18"/>
      <c r="T54" s="49">
        <f>S54/S12</f>
        <v>0</v>
      </c>
      <c r="U54" s="43"/>
      <c r="V54" s="49">
        <f>U54/U12</f>
        <v>0</v>
      </c>
      <c r="W54" s="33">
        <v>0</v>
      </c>
      <c r="X54" s="49">
        <f>W54/W12</f>
        <v>0</v>
      </c>
      <c r="Y54" s="43"/>
      <c r="Z54" s="168">
        <f>Y54/Y12</f>
        <v>0</v>
      </c>
      <c r="AA54" s="275">
        <f t="shared" si="19"/>
        <v>0</v>
      </c>
      <c r="AB54" s="203">
        <f>AA54/AA12</f>
        <v>0</v>
      </c>
      <c r="AC54" s="194">
        <v>0</v>
      </c>
      <c r="AD54" s="203">
        <f>AC54/AC12</f>
        <v>0</v>
      </c>
      <c r="AE54" s="75"/>
      <c r="AF54" s="158"/>
      <c r="AG54" s="75"/>
      <c r="AH54" s="194">
        <v>0</v>
      </c>
      <c r="AI54" s="244">
        <f>AH54/AH12</f>
        <v>0</v>
      </c>
      <c r="AJ54" s="282">
        <f t="shared" si="16"/>
        <v>0</v>
      </c>
      <c r="AK54" s="1"/>
      <c r="AL54" s="53"/>
      <c r="AM54" s="53">
        <f t="shared" si="17"/>
        <v>0</v>
      </c>
      <c r="AN54" s="53" t="e">
        <f>#REF!-AM54</f>
        <v>#REF!</v>
      </c>
      <c r="AO54" s="53"/>
    </row>
    <row r="55" spans="1:41">
      <c r="A55" s="98">
        <v>6114</v>
      </c>
      <c r="B55" s="107" t="s">
        <v>88</v>
      </c>
      <c r="C55" s="23">
        <v>0</v>
      </c>
      <c r="D55" s="49">
        <f>C55/C12</f>
        <v>0</v>
      </c>
      <c r="E55" s="23">
        <v>250</v>
      </c>
      <c r="F55" s="49">
        <f>E55/E12</f>
        <v>1.5087566093109856E-3</v>
      </c>
      <c r="G55" s="23">
        <v>250</v>
      </c>
      <c r="H55" s="49">
        <f>G55/G12</f>
        <v>1.2793736072668797E-3</v>
      </c>
      <c r="I55" s="23">
        <v>250</v>
      </c>
      <c r="J55" s="49">
        <f>I55/I12</f>
        <v>1.1647203413398543E-3</v>
      </c>
      <c r="K55" s="23">
        <v>250</v>
      </c>
      <c r="L55" s="49">
        <f>K55/K12</f>
        <v>1.3104831929134152E-3</v>
      </c>
      <c r="M55" s="23">
        <v>250</v>
      </c>
      <c r="N55" s="49">
        <f>M55/M12</f>
        <v>1.2337159394517551E-3</v>
      </c>
      <c r="O55" s="23">
        <v>250</v>
      </c>
      <c r="P55" s="49">
        <f>O55/O12</f>
        <v>1.3027224043243957E-3</v>
      </c>
      <c r="Q55" s="23">
        <v>250</v>
      </c>
      <c r="R55" s="49">
        <f>Q55/Q12</f>
        <v>1.3890339042728346E-3</v>
      </c>
      <c r="S55" s="23">
        <v>250</v>
      </c>
      <c r="T55" s="49">
        <f>S55/S12</f>
        <v>1.5377790318236335E-3</v>
      </c>
      <c r="U55" s="23">
        <v>250</v>
      </c>
      <c r="V55" s="49">
        <f>U55/U12</f>
        <v>1.0779031167218031E-3</v>
      </c>
      <c r="W55" s="23">
        <v>250</v>
      </c>
      <c r="X55" s="49">
        <f>W55/W12</f>
        <v>1.6114365811967012E-3</v>
      </c>
      <c r="Y55" s="23">
        <v>250</v>
      </c>
      <c r="Z55" s="168">
        <f>Y55/Y12</f>
        <v>1.157665613041063E-3</v>
      </c>
      <c r="AA55" s="275">
        <f t="shared" si="19"/>
        <v>2750</v>
      </c>
      <c r="AB55" s="203">
        <f>AA55/AA12</f>
        <v>1.1654343459418237E-3</v>
      </c>
      <c r="AC55" s="196">
        <v>2750</v>
      </c>
      <c r="AD55" s="203">
        <f>AC55/AC12</f>
        <v>3.4151726683358786E-3</v>
      </c>
      <c r="AE55" s="75"/>
      <c r="AF55" s="158"/>
      <c r="AG55" s="75"/>
      <c r="AH55" s="196">
        <v>2750</v>
      </c>
      <c r="AI55" s="244">
        <f>AH55/AH12</f>
        <v>3.4151726683358786E-3</v>
      </c>
      <c r="AJ55" s="282">
        <f t="shared" si="16"/>
        <v>8250</v>
      </c>
      <c r="AK55" s="1"/>
      <c r="AL55" s="53"/>
      <c r="AM55" s="53">
        <f t="shared" si="17"/>
        <v>23500</v>
      </c>
      <c r="AN55" s="53" t="e">
        <f>#REF!-AM55</f>
        <v>#REF!</v>
      </c>
      <c r="AO55" s="53"/>
    </row>
    <row r="56" spans="1:41">
      <c r="A56" s="98">
        <v>6115</v>
      </c>
      <c r="B56" s="107" t="s">
        <v>14</v>
      </c>
      <c r="C56" s="54">
        <v>43.1</v>
      </c>
      <c r="D56" s="17">
        <f>C56/C12</f>
        <v>1.7036179152618078E-4</v>
      </c>
      <c r="E56" s="54">
        <v>75</v>
      </c>
      <c r="F56" s="17">
        <f>E56/E12</f>
        <v>4.5262698279329567E-4</v>
      </c>
      <c r="G56" s="54">
        <v>75</v>
      </c>
      <c r="H56" s="17">
        <f>G56/G12</f>
        <v>3.8381208218006389E-4</v>
      </c>
      <c r="I56" s="54">
        <v>75</v>
      </c>
      <c r="J56" s="17">
        <f>I56/I12</f>
        <v>3.4941610240195629E-4</v>
      </c>
      <c r="K56" s="54">
        <v>75</v>
      </c>
      <c r="L56" s="17">
        <f>K56/K12</f>
        <v>3.9314495787402457E-4</v>
      </c>
      <c r="M56" s="54">
        <v>75</v>
      </c>
      <c r="N56" s="17">
        <f>M56/M12</f>
        <v>3.7011478183552655E-4</v>
      </c>
      <c r="O56" s="54">
        <v>75</v>
      </c>
      <c r="P56" s="17">
        <f>O56/O12</f>
        <v>3.9081672129731869E-4</v>
      </c>
      <c r="Q56" s="54">
        <v>75</v>
      </c>
      <c r="R56" s="17">
        <f>Q56/Q12</f>
        <v>4.167101712818504E-4</v>
      </c>
      <c r="S56" s="54">
        <v>75</v>
      </c>
      <c r="T56" s="17">
        <f>S56/S12</f>
        <v>4.6133370954709005E-4</v>
      </c>
      <c r="U56" s="54">
        <v>75</v>
      </c>
      <c r="V56" s="17">
        <f>U56/U12</f>
        <v>3.2337093501654088E-4</v>
      </c>
      <c r="W56" s="54">
        <v>75</v>
      </c>
      <c r="X56" s="17">
        <f>W56/W12</f>
        <v>4.8343097435901038E-4</v>
      </c>
      <c r="Y56" s="54">
        <v>75</v>
      </c>
      <c r="Z56" s="215">
        <f>Y56/Y12</f>
        <v>3.4729968391231889E-4</v>
      </c>
      <c r="AA56" s="275">
        <f t="shared" si="19"/>
        <v>868.1</v>
      </c>
      <c r="AB56" s="203">
        <f>AA56/AA12</f>
        <v>3.6789583844076259E-4</v>
      </c>
      <c r="AC56" s="196">
        <v>900</v>
      </c>
      <c r="AD56" s="203">
        <f>AC56/AC12</f>
        <v>1.1176928732735602E-3</v>
      </c>
      <c r="AE56" s="75"/>
      <c r="AF56" s="158"/>
      <c r="AG56" s="75"/>
      <c r="AH56" s="196">
        <v>900</v>
      </c>
      <c r="AI56" s="244">
        <f>AH56/AH12</f>
        <v>1.1176928732735602E-3</v>
      </c>
      <c r="AJ56" s="282">
        <f t="shared" si="16"/>
        <v>2668.1</v>
      </c>
      <c r="AK56" s="1"/>
      <c r="AL56" s="53"/>
      <c r="AM56" s="53">
        <f t="shared" si="17"/>
        <v>7050</v>
      </c>
      <c r="AN56" s="53" t="e">
        <f>#REF!-AM56</f>
        <v>#REF!</v>
      </c>
      <c r="AO56" s="53"/>
    </row>
    <row r="57" spans="1:41">
      <c r="A57" s="98">
        <v>6116</v>
      </c>
      <c r="B57" s="107" t="s">
        <v>15</v>
      </c>
      <c r="C57" s="43">
        <v>69</v>
      </c>
      <c r="D57" s="49">
        <f>C57/C12</f>
        <v>2.7273697483309683E-4</v>
      </c>
      <c r="E57" s="43">
        <v>70</v>
      </c>
      <c r="F57" s="49">
        <f>E57/E12</f>
        <v>4.2245185060707594E-4</v>
      </c>
      <c r="G57" s="43">
        <v>70</v>
      </c>
      <c r="H57" s="49">
        <f>G57/G12</f>
        <v>3.5822461003472632E-4</v>
      </c>
      <c r="I57" s="43">
        <v>100</v>
      </c>
      <c r="J57" s="49">
        <f>I57/I12</f>
        <v>4.6588813653594175E-4</v>
      </c>
      <c r="K57" s="43">
        <v>100</v>
      </c>
      <c r="L57" s="49">
        <f>K57/K12</f>
        <v>5.2419327716536602E-4</v>
      </c>
      <c r="M57" s="43">
        <v>100</v>
      </c>
      <c r="N57" s="49">
        <f>M57/M12</f>
        <v>4.9348637578070214E-4</v>
      </c>
      <c r="O57" s="43">
        <v>100</v>
      </c>
      <c r="P57" s="49">
        <f>O57/O12</f>
        <v>5.2108896172975829E-4</v>
      </c>
      <c r="Q57" s="43">
        <v>100</v>
      </c>
      <c r="R57" s="49">
        <f>Q57/Q12</f>
        <v>5.556135617091339E-4</v>
      </c>
      <c r="S57" s="43">
        <v>100</v>
      </c>
      <c r="T57" s="49">
        <f>S57/S12</f>
        <v>6.1511161272945344E-4</v>
      </c>
      <c r="U57" s="43">
        <v>100</v>
      </c>
      <c r="V57" s="49">
        <f>U57/U12</f>
        <v>4.3116124668872121E-4</v>
      </c>
      <c r="W57" s="43">
        <v>100</v>
      </c>
      <c r="X57" s="49">
        <f>W57/W12</f>
        <v>6.4457463247868051E-4</v>
      </c>
      <c r="Y57" s="43">
        <v>100</v>
      </c>
      <c r="Z57" s="168">
        <f>Y57/Y12</f>
        <v>4.6306624521642522E-4</v>
      </c>
      <c r="AA57" s="275">
        <f t="shared" si="19"/>
        <v>1109</v>
      </c>
      <c r="AB57" s="203">
        <f>AA57/AA12</f>
        <v>4.6998788714526632E-4</v>
      </c>
      <c r="AC57" s="196">
        <v>1200</v>
      </c>
      <c r="AD57" s="203">
        <f>AC57/AC12</f>
        <v>1.4902571643647471E-3</v>
      </c>
      <c r="AE57" s="75"/>
      <c r="AF57" s="158"/>
      <c r="AG57" s="75"/>
      <c r="AH57" s="196">
        <v>1200</v>
      </c>
      <c r="AI57" s="244">
        <f>AH57/AH12</f>
        <v>1.4902571643647471E-3</v>
      </c>
      <c r="AJ57" s="282">
        <f t="shared" si="16"/>
        <v>3509</v>
      </c>
      <c r="AK57" s="1"/>
      <c r="AL57" s="53"/>
      <c r="AM57" s="53">
        <f t="shared" si="17"/>
        <v>9118</v>
      </c>
      <c r="AN57" s="53" t="e">
        <f>#REF!-AM57</f>
        <v>#REF!</v>
      </c>
      <c r="AO57" s="53"/>
    </row>
    <row r="58" spans="1:41">
      <c r="A58" s="98">
        <v>6117</v>
      </c>
      <c r="B58" s="107" t="s">
        <v>16</v>
      </c>
      <c r="C58" s="130"/>
      <c r="D58" s="49">
        <f>C58/C12</f>
        <v>0</v>
      </c>
      <c r="E58" s="43"/>
      <c r="F58" s="49">
        <f>E58/E12</f>
        <v>0</v>
      </c>
      <c r="G58" s="80"/>
      <c r="H58" s="49">
        <f>G58/G12</f>
        <v>0</v>
      </c>
      <c r="I58" s="18"/>
      <c r="J58" s="49">
        <f>I58/I12</f>
        <v>0</v>
      </c>
      <c r="K58" s="43">
        <v>0</v>
      </c>
      <c r="L58" s="49">
        <f>K58/K12</f>
        <v>0</v>
      </c>
      <c r="M58" s="18"/>
      <c r="N58" s="49">
        <f>M58/M12</f>
        <v>0</v>
      </c>
      <c r="O58" s="18"/>
      <c r="P58" s="49">
        <f>O58/O12</f>
        <v>0</v>
      </c>
      <c r="Q58" s="18"/>
      <c r="R58" s="49">
        <f>Q58/Q12</f>
        <v>0</v>
      </c>
      <c r="S58" s="18"/>
      <c r="T58" s="49">
        <f>S58/S12</f>
        <v>0</v>
      </c>
      <c r="U58" s="43"/>
      <c r="V58" s="49">
        <f>U58/U12</f>
        <v>0</v>
      </c>
      <c r="W58" s="33"/>
      <c r="X58" s="49">
        <f>W58/W12</f>
        <v>0</v>
      </c>
      <c r="Y58" s="43"/>
      <c r="Z58" s="168">
        <f>Y58/Y12</f>
        <v>0</v>
      </c>
      <c r="AA58" s="275">
        <f t="shared" si="19"/>
        <v>0</v>
      </c>
      <c r="AB58" s="203">
        <f>AA58/AA12</f>
        <v>0</v>
      </c>
      <c r="AC58" s="194">
        <v>0</v>
      </c>
      <c r="AD58" s="203">
        <f>AC58/AC12</f>
        <v>0</v>
      </c>
      <c r="AE58" s="75"/>
      <c r="AF58" s="158"/>
      <c r="AG58" s="75"/>
      <c r="AH58" s="194">
        <v>0</v>
      </c>
      <c r="AI58" s="244">
        <f>AH58/AH12</f>
        <v>0</v>
      </c>
      <c r="AJ58" s="282">
        <f t="shared" si="16"/>
        <v>0</v>
      </c>
      <c r="AK58" s="1"/>
      <c r="AL58" s="53"/>
      <c r="AM58" s="53">
        <f t="shared" si="17"/>
        <v>0</v>
      </c>
      <c r="AN58" s="53" t="e">
        <f>#REF!-AM58</f>
        <v>#REF!</v>
      </c>
      <c r="AO58" s="53"/>
    </row>
    <row r="59" spans="1:41">
      <c r="A59" s="98">
        <v>6118</v>
      </c>
      <c r="B59" s="108" t="s">
        <v>17</v>
      </c>
      <c r="C59" s="79"/>
      <c r="D59" s="49">
        <f>C59/C$12</f>
        <v>0</v>
      </c>
      <c r="E59" s="79"/>
      <c r="F59" s="49">
        <f>E59/E$12</f>
        <v>0</v>
      </c>
      <c r="G59" s="79"/>
      <c r="H59" s="49">
        <f>G59/G$5</f>
        <v>0</v>
      </c>
      <c r="I59" s="79"/>
      <c r="J59" s="49" t="e">
        <f>I59/J$5</f>
        <v>#DIV/0!</v>
      </c>
      <c r="K59" s="79"/>
      <c r="L59" s="49">
        <f>K59/K$5</f>
        <v>0</v>
      </c>
      <c r="M59" s="79"/>
      <c r="N59" s="49">
        <f>M59/M$5</f>
        <v>0</v>
      </c>
      <c r="O59" s="79"/>
      <c r="P59" s="49">
        <f>O59/O$5</f>
        <v>0</v>
      </c>
      <c r="Q59" s="79"/>
      <c r="R59" s="49">
        <f>Q59/Q$5</f>
        <v>0</v>
      </c>
      <c r="S59" s="79"/>
      <c r="T59" s="49">
        <f>S59/S$5</f>
        <v>0</v>
      </c>
      <c r="U59" s="79"/>
      <c r="V59" s="49">
        <f>U59/U$5</f>
        <v>0</v>
      </c>
      <c r="W59" s="79"/>
      <c r="X59" s="49">
        <f>W59/W$5</f>
        <v>0</v>
      </c>
      <c r="Y59" s="79"/>
      <c r="Z59" s="168">
        <f>Y59/Y$5</f>
        <v>0</v>
      </c>
      <c r="AA59" s="275">
        <f t="shared" si="19"/>
        <v>0</v>
      </c>
      <c r="AB59" s="203">
        <f>AA59/AA$5</f>
        <v>0</v>
      </c>
      <c r="AC59" s="196">
        <v>0</v>
      </c>
      <c r="AD59" s="203">
        <f>AC59/AC$5</f>
        <v>0</v>
      </c>
      <c r="AE59" s="159"/>
      <c r="AF59" s="159"/>
      <c r="AG59" s="159"/>
      <c r="AH59" s="196">
        <v>0</v>
      </c>
      <c r="AI59" s="244">
        <f>AH59/AH$5</f>
        <v>0</v>
      </c>
      <c r="AJ59" s="282">
        <f t="shared" si="16"/>
        <v>0</v>
      </c>
      <c r="AK59" s="1"/>
      <c r="AL59" s="53"/>
      <c r="AM59" s="53">
        <f t="shared" si="17"/>
        <v>0</v>
      </c>
      <c r="AN59" s="53" t="e">
        <f>#REF!-AM59</f>
        <v>#REF!</v>
      </c>
      <c r="AO59" s="53"/>
    </row>
    <row r="60" spans="1:41">
      <c r="A60" s="98">
        <v>6119</v>
      </c>
      <c r="B60" s="107" t="s">
        <v>18</v>
      </c>
      <c r="C60" s="130"/>
      <c r="D60" s="49">
        <f>C60/C12</f>
        <v>0</v>
      </c>
      <c r="E60" s="43"/>
      <c r="F60" s="49">
        <f>E60/E12</f>
        <v>0</v>
      </c>
      <c r="G60" s="80"/>
      <c r="H60" s="49">
        <f>G60/G12</f>
        <v>0</v>
      </c>
      <c r="I60" s="18"/>
      <c r="J60" s="49">
        <f>I60/I12</f>
        <v>0</v>
      </c>
      <c r="K60" s="43">
        <v>0</v>
      </c>
      <c r="L60" s="49">
        <f>K60/K12</f>
        <v>0</v>
      </c>
      <c r="M60" s="18"/>
      <c r="N60" s="49">
        <f>M60/M12</f>
        <v>0</v>
      </c>
      <c r="O60" s="18">
        <v>0</v>
      </c>
      <c r="P60" s="49">
        <f>O60/O12</f>
        <v>0</v>
      </c>
      <c r="Q60" s="18"/>
      <c r="R60" s="49">
        <f>Q60/Q12</f>
        <v>0</v>
      </c>
      <c r="S60" s="18"/>
      <c r="T60" s="49">
        <f>S60/S12</f>
        <v>0</v>
      </c>
      <c r="U60" s="43"/>
      <c r="V60" s="49">
        <f>U60/U12</f>
        <v>0</v>
      </c>
      <c r="W60" s="33"/>
      <c r="X60" s="49">
        <f>W60/W12</f>
        <v>0</v>
      </c>
      <c r="Y60" s="43"/>
      <c r="Z60" s="168">
        <f>Y60/Y12</f>
        <v>0</v>
      </c>
      <c r="AA60" s="275">
        <f t="shared" si="19"/>
        <v>0</v>
      </c>
      <c r="AB60" s="203">
        <f>AA60/AA12</f>
        <v>0</v>
      </c>
      <c r="AC60" s="194">
        <v>0</v>
      </c>
      <c r="AD60" s="203">
        <f>AC60/AC12</f>
        <v>0</v>
      </c>
      <c r="AE60" s="75"/>
      <c r="AF60" s="158"/>
      <c r="AG60" s="75"/>
      <c r="AH60" s="194">
        <v>0</v>
      </c>
      <c r="AI60" s="244">
        <f>AH60/AH12</f>
        <v>0</v>
      </c>
      <c r="AJ60" s="282">
        <f t="shared" si="16"/>
        <v>0</v>
      </c>
      <c r="AK60" s="1"/>
      <c r="AL60" s="53"/>
      <c r="AM60" s="53">
        <f t="shared" si="17"/>
        <v>0</v>
      </c>
      <c r="AN60" s="53" t="e">
        <f>#REF!-AM60</f>
        <v>#REF!</v>
      </c>
      <c r="AO60" s="53"/>
    </row>
    <row r="61" spans="1:41">
      <c r="A61" s="98">
        <v>6120</v>
      </c>
      <c r="B61" s="107" t="s">
        <v>19</v>
      </c>
      <c r="C61" s="130"/>
      <c r="D61" s="49">
        <f>C61/C12</f>
        <v>0</v>
      </c>
      <c r="E61" s="43"/>
      <c r="F61" s="49">
        <f>E61/E12</f>
        <v>0</v>
      </c>
      <c r="G61" s="80"/>
      <c r="H61" s="49">
        <f>G61/G12</f>
        <v>0</v>
      </c>
      <c r="I61" s="18"/>
      <c r="J61" s="49">
        <f>I61/I12</f>
        <v>0</v>
      </c>
      <c r="K61" s="43">
        <v>0</v>
      </c>
      <c r="L61" s="49">
        <f>K61/K12</f>
        <v>0</v>
      </c>
      <c r="M61" s="18"/>
      <c r="N61" s="49">
        <f>M61/M12</f>
        <v>0</v>
      </c>
      <c r="O61" s="18"/>
      <c r="P61" s="49">
        <f>O61/O12</f>
        <v>0</v>
      </c>
      <c r="Q61" s="18"/>
      <c r="R61" s="49">
        <f>Q61/Q12</f>
        <v>0</v>
      </c>
      <c r="S61" s="18"/>
      <c r="T61" s="49">
        <f>S61/S12</f>
        <v>0</v>
      </c>
      <c r="U61" s="43"/>
      <c r="V61" s="49">
        <f>U61/U12</f>
        <v>0</v>
      </c>
      <c r="W61" s="33"/>
      <c r="X61" s="49">
        <f>W61/W12</f>
        <v>0</v>
      </c>
      <c r="Y61" s="43"/>
      <c r="Z61" s="168">
        <f>Y61/Y12</f>
        <v>0</v>
      </c>
      <c r="AA61" s="275">
        <f t="shared" si="19"/>
        <v>0</v>
      </c>
      <c r="AB61" s="203">
        <f>AA61/AA12</f>
        <v>0</v>
      </c>
      <c r="AC61" s="194">
        <v>0</v>
      </c>
      <c r="AD61" s="203">
        <f>AC61/AC12</f>
        <v>0</v>
      </c>
      <c r="AE61" s="75"/>
      <c r="AF61" s="158"/>
      <c r="AG61" s="75"/>
      <c r="AH61" s="194">
        <v>0</v>
      </c>
      <c r="AI61" s="244">
        <f>AH61/AH12</f>
        <v>0</v>
      </c>
      <c r="AJ61" s="282">
        <f t="shared" si="16"/>
        <v>0</v>
      </c>
      <c r="AK61" s="1"/>
      <c r="AL61" s="53"/>
      <c r="AM61" s="53">
        <f t="shared" si="17"/>
        <v>0</v>
      </c>
      <c r="AN61" s="53" t="e">
        <f>#REF!-AM61</f>
        <v>#REF!</v>
      </c>
      <c r="AO61" s="53"/>
    </row>
    <row r="62" spans="1:41">
      <c r="A62" s="2">
        <v>6121</v>
      </c>
      <c r="B62" s="107" t="s">
        <v>20</v>
      </c>
      <c r="C62" s="18">
        <v>30.8</v>
      </c>
      <c r="D62" s="49">
        <f>C62/C12</f>
        <v>1.2174346122984612E-4</v>
      </c>
      <c r="E62" s="18">
        <v>50</v>
      </c>
      <c r="F62" s="49">
        <f>E62/E12</f>
        <v>3.0175132186219711E-4</v>
      </c>
      <c r="G62" s="18">
        <v>50</v>
      </c>
      <c r="H62" s="49">
        <f>G62/G12</f>
        <v>2.5587472145337595E-4</v>
      </c>
      <c r="I62" s="18">
        <v>50</v>
      </c>
      <c r="J62" s="49">
        <f>I62/I12</f>
        <v>2.3294406826797088E-4</v>
      </c>
      <c r="K62" s="18">
        <v>50</v>
      </c>
      <c r="L62" s="49">
        <f>K62/K12</f>
        <v>2.6209663858268301E-4</v>
      </c>
      <c r="M62" s="18">
        <v>50</v>
      </c>
      <c r="N62" s="49">
        <f>M62/M12</f>
        <v>2.4674318789035107E-4</v>
      </c>
      <c r="O62" s="18">
        <v>50</v>
      </c>
      <c r="P62" s="49">
        <f>O62/O12</f>
        <v>2.6054448086487914E-4</v>
      </c>
      <c r="Q62" s="18">
        <v>50</v>
      </c>
      <c r="R62" s="49">
        <f>Q62/Q12</f>
        <v>2.7780678085456695E-4</v>
      </c>
      <c r="S62" s="18">
        <v>50</v>
      </c>
      <c r="T62" s="49">
        <f>S62/S12</f>
        <v>3.0755580636472672E-4</v>
      </c>
      <c r="U62" s="18">
        <v>50</v>
      </c>
      <c r="V62" s="49">
        <f>U62/U12</f>
        <v>2.155806233443606E-4</v>
      </c>
      <c r="W62" s="18">
        <v>50</v>
      </c>
      <c r="X62" s="49">
        <f>W62/W12</f>
        <v>3.2228731623934026E-4</v>
      </c>
      <c r="Y62" s="18">
        <v>50</v>
      </c>
      <c r="Z62" s="168">
        <f>Y62/Y12</f>
        <v>2.3153312260821261E-4</v>
      </c>
      <c r="AA62" s="275">
        <f t="shared" si="19"/>
        <v>580.79999999999995</v>
      </c>
      <c r="AB62" s="203">
        <f>AA62/AA12</f>
        <v>2.4613973386291313E-4</v>
      </c>
      <c r="AC62" s="194">
        <v>600</v>
      </c>
      <c r="AD62" s="203">
        <f>AC62/AC12</f>
        <v>7.4512858218237356E-4</v>
      </c>
      <c r="AE62" s="75"/>
      <c r="AF62" s="158"/>
      <c r="AG62" s="75"/>
      <c r="AH62" s="194">
        <v>600</v>
      </c>
      <c r="AI62" s="244">
        <f>AH62/AH12</f>
        <v>7.4512858218237356E-4</v>
      </c>
      <c r="AJ62" s="282">
        <f t="shared" si="16"/>
        <v>1780.8</v>
      </c>
      <c r="AK62" s="1"/>
      <c r="AL62" s="53"/>
      <c r="AM62" s="53">
        <f t="shared" si="17"/>
        <v>4700</v>
      </c>
      <c r="AN62" s="53" t="e">
        <f>#REF!-AM62</f>
        <v>#REF!</v>
      </c>
      <c r="AO62" s="53"/>
    </row>
    <row r="63" spans="1:41">
      <c r="A63" s="2">
        <v>6122</v>
      </c>
      <c r="B63" s="107" t="s">
        <v>21</v>
      </c>
      <c r="C63" s="130"/>
      <c r="D63" s="49">
        <f>C63/C12</f>
        <v>0</v>
      </c>
      <c r="E63" s="43"/>
      <c r="F63" s="49">
        <f>E63/E12</f>
        <v>0</v>
      </c>
      <c r="G63" s="80"/>
      <c r="H63" s="49">
        <f>G63/G12</f>
        <v>0</v>
      </c>
      <c r="I63" s="18"/>
      <c r="J63" s="49">
        <f>I63/I12</f>
        <v>0</v>
      </c>
      <c r="K63" s="43">
        <v>0</v>
      </c>
      <c r="L63" s="49">
        <f>K63/K12</f>
        <v>0</v>
      </c>
      <c r="M63" s="18"/>
      <c r="N63" s="49">
        <f>M63/M12</f>
        <v>0</v>
      </c>
      <c r="O63" s="18"/>
      <c r="P63" s="49">
        <f>O63/O12</f>
        <v>0</v>
      </c>
      <c r="Q63" s="18"/>
      <c r="R63" s="49">
        <f>Q63/Q12</f>
        <v>0</v>
      </c>
      <c r="S63" s="18"/>
      <c r="T63" s="49">
        <f>S63/S12</f>
        <v>0</v>
      </c>
      <c r="U63" s="43"/>
      <c r="V63" s="49">
        <f>U63/U12</f>
        <v>0</v>
      </c>
      <c r="W63" s="33"/>
      <c r="X63" s="49">
        <f>W63/W12</f>
        <v>0</v>
      </c>
      <c r="Y63" s="43"/>
      <c r="Z63" s="168">
        <f>Y63/Y12</f>
        <v>0</v>
      </c>
      <c r="AA63" s="275">
        <f t="shared" si="19"/>
        <v>0</v>
      </c>
      <c r="AB63" s="203">
        <f>AA63/AA12</f>
        <v>0</v>
      </c>
      <c r="AC63" s="194">
        <v>0</v>
      </c>
      <c r="AD63" s="203">
        <f>AC63/AC12</f>
        <v>0</v>
      </c>
      <c r="AE63" s="75"/>
      <c r="AF63" s="158"/>
      <c r="AG63" s="75"/>
      <c r="AH63" s="194">
        <v>0</v>
      </c>
      <c r="AI63" s="244">
        <f>AH63/AH12</f>
        <v>0</v>
      </c>
      <c r="AJ63" s="282">
        <f t="shared" si="16"/>
        <v>0</v>
      </c>
      <c r="AK63" s="1"/>
      <c r="AL63" s="53"/>
      <c r="AM63" s="53">
        <f t="shared" si="17"/>
        <v>0</v>
      </c>
      <c r="AN63" s="53" t="e">
        <f>#REF!-AM63</f>
        <v>#REF!</v>
      </c>
      <c r="AO63" s="53"/>
    </row>
    <row r="64" spans="1:41">
      <c r="A64" s="2">
        <v>6123</v>
      </c>
      <c r="B64" s="107" t="s">
        <v>22</v>
      </c>
      <c r="C64" s="130"/>
      <c r="D64" s="49">
        <f>C64/C12</f>
        <v>0</v>
      </c>
      <c r="E64" s="43"/>
      <c r="F64" s="49">
        <f>E64/E12</f>
        <v>0</v>
      </c>
      <c r="G64" s="80"/>
      <c r="H64" s="49">
        <f>G64/G12</f>
        <v>0</v>
      </c>
      <c r="I64" s="18"/>
      <c r="J64" s="49">
        <f>I64/I12</f>
        <v>0</v>
      </c>
      <c r="K64" s="43">
        <v>0</v>
      </c>
      <c r="L64" s="49">
        <f>K64/K12</f>
        <v>0</v>
      </c>
      <c r="M64" s="18"/>
      <c r="N64" s="49">
        <f>M64/M12</f>
        <v>0</v>
      </c>
      <c r="O64" s="18"/>
      <c r="P64" s="49">
        <f>O64/O12</f>
        <v>0</v>
      </c>
      <c r="Q64" s="18"/>
      <c r="R64" s="49">
        <f>Q64/Q12</f>
        <v>0</v>
      </c>
      <c r="S64" s="18"/>
      <c r="T64" s="49">
        <f>S64/S12</f>
        <v>0</v>
      </c>
      <c r="U64" s="43"/>
      <c r="V64" s="49">
        <f>U64/U12</f>
        <v>0</v>
      </c>
      <c r="W64" s="33"/>
      <c r="X64" s="49">
        <f>W64/W12</f>
        <v>0</v>
      </c>
      <c r="Y64" s="43"/>
      <c r="Z64" s="168">
        <f>Y64/Y12</f>
        <v>0</v>
      </c>
      <c r="AA64" s="275">
        <f t="shared" si="19"/>
        <v>0</v>
      </c>
      <c r="AB64" s="203">
        <f>AA64/AA12</f>
        <v>0</v>
      </c>
      <c r="AC64" s="194">
        <v>0</v>
      </c>
      <c r="AD64" s="203">
        <f>AC64/AC12</f>
        <v>0</v>
      </c>
      <c r="AE64" s="75"/>
      <c r="AF64" s="158"/>
      <c r="AG64" s="75"/>
      <c r="AH64" s="194">
        <v>0</v>
      </c>
      <c r="AI64" s="244">
        <f>AH64/AH12</f>
        <v>0</v>
      </c>
      <c r="AJ64" s="282">
        <f t="shared" si="16"/>
        <v>0</v>
      </c>
      <c r="AK64" s="1"/>
      <c r="AL64" s="53"/>
      <c r="AM64" s="53">
        <f t="shared" si="17"/>
        <v>0</v>
      </c>
      <c r="AN64" s="53" t="e">
        <f>#REF!-AM64</f>
        <v>#REF!</v>
      </c>
      <c r="AO64" s="53"/>
    </row>
    <row r="65" spans="1:41">
      <c r="A65" s="98">
        <v>6124</v>
      </c>
      <c r="B65" s="107" t="s">
        <v>23</v>
      </c>
      <c r="C65" s="18">
        <v>17</v>
      </c>
      <c r="D65" s="49">
        <f>C65/C12</f>
        <v>6.7196066263226756E-5</v>
      </c>
      <c r="E65" s="18">
        <v>100</v>
      </c>
      <c r="F65" s="49">
        <f>E65/E12</f>
        <v>6.0350264372439422E-4</v>
      </c>
      <c r="G65" s="18">
        <v>100</v>
      </c>
      <c r="H65" s="49">
        <f>G65/G12</f>
        <v>5.1174944290675189E-4</v>
      </c>
      <c r="I65" s="18">
        <v>100</v>
      </c>
      <c r="J65" s="49">
        <f>I65/I12</f>
        <v>4.6588813653594175E-4</v>
      </c>
      <c r="K65" s="18">
        <v>100</v>
      </c>
      <c r="L65" s="49">
        <f>K65/K12</f>
        <v>5.2419327716536602E-4</v>
      </c>
      <c r="M65" s="18">
        <v>100</v>
      </c>
      <c r="N65" s="49">
        <f>M65/M12</f>
        <v>4.9348637578070214E-4</v>
      </c>
      <c r="O65" s="18">
        <v>100</v>
      </c>
      <c r="P65" s="49">
        <f>O65/O12</f>
        <v>5.2108896172975829E-4</v>
      </c>
      <c r="Q65" s="18">
        <v>100</v>
      </c>
      <c r="R65" s="49">
        <f>Q65/Q12</f>
        <v>5.556135617091339E-4</v>
      </c>
      <c r="S65" s="18">
        <v>100</v>
      </c>
      <c r="T65" s="49">
        <f>S65/S12</f>
        <v>6.1511161272945344E-4</v>
      </c>
      <c r="U65" s="18">
        <v>100</v>
      </c>
      <c r="V65" s="49">
        <f>U65/U12</f>
        <v>4.3116124668872121E-4</v>
      </c>
      <c r="W65" s="18">
        <v>100</v>
      </c>
      <c r="X65" s="49">
        <f>W65/W12</f>
        <v>6.4457463247868051E-4</v>
      </c>
      <c r="Y65" s="18">
        <v>100</v>
      </c>
      <c r="Z65" s="168">
        <f>Y65/Y12</f>
        <v>4.6306624521642522E-4</v>
      </c>
      <c r="AA65" s="275">
        <f t="shared" si="19"/>
        <v>1117</v>
      </c>
      <c r="AB65" s="203">
        <f>AA65/AA12</f>
        <v>4.7337824160618801E-4</v>
      </c>
      <c r="AC65" s="194">
        <v>1200</v>
      </c>
      <c r="AD65" s="203">
        <f>AC65/AC12</f>
        <v>1.4902571643647471E-3</v>
      </c>
      <c r="AE65" s="75"/>
      <c r="AF65" s="158"/>
      <c r="AG65" s="75"/>
      <c r="AH65" s="194">
        <v>1200</v>
      </c>
      <c r="AI65" s="244">
        <f>AH65/AH12</f>
        <v>1.4902571643647471E-3</v>
      </c>
      <c r="AJ65" s="282">
        <f t="shared" si="16"/>
        <v>3517</v>
      </c>
      <c r="AK65" s="1"/>
      <c r="AL65" s="53"/>
      <c r="AM65" s="53">
        <f t="shared" si="17"/>
        <v>9400</v>
      </c>
      <c r="AN65" s="53" t="e">
        <f>#REF!-AM65</f>
        <v>#REF!</v>
      </c>
      <c r="AO65" s="53"/>
    </row>
    <row r="66" spans="1:41">
      <c r="A66" s="98">
        <v>6125</v>
      </c>
      <c r="B66" s="107" t="s">
        <v>78</v>
      </c>
      <c r="C66" s="18"/>
      <c r="D66" s="49">
        <f>C66/C12</f>
        <v>0</v>
      </c>
      <c r="E66" s="18">
        <v>125</v>
      </c>
      <c r="F66" s="49">
        <f>E66/E12</f>
        <v>7.5437830465549278E-4</v>
      </c>
      <c r="G66" s="18">
        <v>125</v>
      </c>
      <c r="H66" s="49">
        <f>G66/G12</f>
        <v>6.3968680363343984E-4</v>
      </c>
      <c r="I66" s="18">
        <v>125</v>
      </c>
      <c r="J66" s="49">
        <f>I66/I12</f>
        <v>5.8236017066992717E-4</v>
      </c>
      <c r="K66" s="18">
        <v>125</v>
      </c>
      <c r="L66" s="49">
        <f>K66/K12</f>
        <v>6.5524159645670758E-4</v>
      </c>
      <c r="M66" s="18">
        <v>125</v>
      </c>
      <c r="N66" s="49">
        <f>M66/M12</f>
        <v>6.1685796972587757E-4</v>
      </c>
      <c r="O66" s="18">
        <v>125</v>
      </c>
      <c r="P66" s="49">
        <f>O66/O12</f>
        <v>6.5136120216219783E-4</v>
      </c>
      <c r="Q66" s="18">
        <v>125</v>
      </c>
      <c r="R66" s="49">
        <f>Q66/Q12</f>
        <v>6.9451695213641729E-4</v>
      </c>
      <c r="S66" s="18">
        <v>125</v>
      </c>
      <c r="T66" s="49">
        <f>S66/S12</f>
        <v>7.6888951591181677E-4</v>
      </c>
      <c r="U66" s="18">
        <v>125</v>
      </c>
      <c r="V66" s="49">
        <f>U66/U12</f>
        <v>5.3895155836090154E-4</v>
      </c>
      <c r="W66" s="18">
        <v>125</v>
      </c>
      <c r="X66" s="49">
        <f>W66/W12</f>
        <v>8.0571829059835059E-4</v>
      </c>
      <c r="Y66" s="18">
        <v>125</v>
      </c>
      <c r="Z66" s="168">
        <f>Y66/Y12</f>
        <v>5.788328065205315E-4</v>
      </c>
      <c r="AA66" s="275">
        <f t="shared" si="19"/>
        <v>1375</v>
      </c>
      <c r="AB66" s="203">
        <f>AA66/AA12</f>
        <v>5.8271717297091186E-4</v>
      </c>
      <c r="AC66" s="194">
        <v>1375</v>
      </c>
      <c r="AD66" s="203">
        <f>AC66/AC12</f>
        <v>1.7075863341679393E-3</v>
      </c>
      <c r="AE66" s="75"/>
      <c r="AF66" s="158"/>
      <c r="AG66" s="75"/>
      <c r="AH66" s="194">
        <v>1375</v>
      </c>
      <c r="AI66" s="244">
        <f>AH66/AH12</f>
        <v>1.7075863341679393E-3</v>
      </c>
      <c r="AJ66" s="282">
        <f t="shared" si="16"/>
        <v>4125</v>
      </c>
      <c r="AK66" s="1"/>
      <c r="AL66" s="53"/>
      <c r="AM66" s="53">
        <f t="shared" si="17"/>
        <v>11750</v>
      </c>
      <c r="AN66" s="53" t="e">
        <f>#REF!-AM66</f>
        <v>#REF!</v>
      </c>
      <c r="AO66" s="53"/>
    </row>
    <row r="67" spans="1:41">
      <c r="A67" s="2">
        <v>6126</v>
      </c>
      <c r="B67" s="107" t="s">
        <v>104</v>
      </c>
      <c r="C67" s="130"/>
      <c r="D67" s="49">
        <f>C67/C12</f>
        <v>0</v>
      </c>
      <c r="E67" s="43"/>
      <c r="F67" s="49">
        <f>E67/E12</f>
        <v>0</v>
      </c>
      <c r="G67" s="80"/>
      <c r="H67" s="49">
        <f>G67/G12</f>
        <v>0</v>
      </c>
      <c r="I67" s="18"/>
      <c r="J67" s="49">
        <f>I67/I12</f>
        <v>0</v>
      </c>
      <c r="K67" s="43">
        <v>0</v>
      </c>
      <c r="L67" s="49">
        <f>K67/K12</f>
        <v>0</v>
      </c>
      <c r="M67" s="18"/>
      <c r="N67" s="49">
        <f>M67/M12</f>
        <v>0</v>
      </c>
      <c r="O67" s="18"/>
      <c r="P67" s="49">
        <f>O67/O12</f>
        <v>0</v>
      </c>
      <c r="Q67" s="18"/>
      <c r="R67" s="49">
        <f>Q67/Q12</f>
        <v>0</v>
      </c>
      <c r="S67" s="18"/>
      <c r="T67" s="49">
        <f>S67/S12</f>
        <v>0</v>
      </c>
      <c r="U67" s="43"/>
      <c r="V67" s="49">
        <f>U67/U12</f>
        <v>0</v>
      </c>
      <c r="W67" s="33"/>
      <c r="X67" s="49">
        <f>W67/W12</f>
        <v>0</v>
      </c>
      <c r="Y67" s="43"/>
      <c r="Z67" s="168">
        <f>Y67/Y12</f>
        <v>0</v>
      </c>
      <c r="AA67" s="275">
        <f t="shared" si="19"/>
        <v>0</v>
      </c>
      <c r="AB67" s="203">
        <f>AA67/AA12</f>
        <v>0</v>
      </c>
      <c r="AC67" s="194">
        <v>0</v>
      </c>
      <c r="AD67" s="203">
        <f>AC67/AC12</f>
        <v>0</v>
      </c>
      <c r="AE67" s="75"/>
      <c r="AF67" s="158"/>
      <c r="AG67" s="75"/>
      <c r="AH67" s="194">
        <v>0</v>
      </c>
      <c r="AI67" s="244">
        <f>AH67/AH12</f>
        <v>0</v>
      </c>
      <c r="AJ67" s="282">
        <f t="shared" si="16"/>
        <v>0</v>
      </c>
      <c r="AK67" s="1"/>
      <c r="AL67" s="53"/>
      <c r="AM67" s="53">
        <f t="shared" si="17"/>
        <v>0</v>
      </c>
      <c r="AN67" s="53" t="e">
        <f>#REF!-AM67</f>
        <v>#REF!</v>
      </c>
      <c r="AO67" s="53"/>
    </row>
    <row r="68" spans="1:41">
      <c r="A68" s="98">
        <v>6127</v>
      </c>
      <c r="B68" s="107" t="s">
        <v>76</v>
      </c>
      <c r="C68" s="18">
        <v>408.63299999999998</v>
      </c>
      <c r="D68" s="49">
        <f>C68/C12</f>
        <v>1.6152076556083023E-3</v>
      </c>
      <c r="E68" s="18">
        <v>500</v>
      </c>
      <c r="F68" s="49">
        <f>E68/E12</f>
        <v>3.0175132186219711E-3</v>
      </c>
      <c r="G68" s="18">
        <v>500</v>
      </c>
      <c r="H68" s="49">
        <f>G68/G12</f>
        <v>2.5587472145337594E-3</v>
      </c>
      <c r="I68" s="18">
        <v>500</v>
      </c>
      <c r="J68" s="49">
        <f>I68/I12</f>
        <v>2.3294406826797087E-3</v>
      </c>
      <c r="K68" s="18">
        <v>500</v>
      </c>
      <c r="L68" s="49">
        <f>K68/K12</f>
        <v>2.6209663858268303E-3</v>
      </c>
      <c r="M68" s="18">
        <v>500</v>
      </c>
      <c r="N68" s="49">
        <f>M68/M12</f>
        <v>2.4674318789035103E-3</v>
      </c>
      <c r="O68" s="18">
        <v>500</v>
      </c>
      <c r="P68" s="49">
        <f>O68/O12</f>
        <v>2.6054448086487913E-3</v>
      </c>
      <c r="Q68" s="18">
        <v>500</v>
      </c>
      <c r="R68" s="49">
        <f>Q68/Q12</f>
        <v>2.7780678085456692E-3</v>
      </c>
      <c r="S68" s="18">
        <v>500</v>
      </c>
      <c r="T68" s="49">
        <f>S68/S12</f>
        <v>3.0755580636472671E-3</v>
      </c>
      <c r="U68" s="18">
        <v>500</v>
      </c>
      <c r="V68" s="49">
        <f>U68/U12</f>
        <v>2.1558062334436062E-3</v>
      </c>
      <c r="W68" s="18">
        <v>500</v>
      </c>
      <c r="X68" s="49">
        <f>W68/W12</f>
        <v>3.2228731623934023E-3</v>
      </c>
      <c r="Y68" s="18">
        <v>500</v>
      </c>
      <c r="Z68" s="168">
        <f>Y68/Y12</f>
        <v>2.315331226082126E-3</v>
      </c>
      <c r="AA68" s="275">
        <f t="shared" si="19"/>
        <v>5908.6329999999998</v>
      </c>
      <c r="AB68" s="203">
        <f>AA68/AA12</f>
        <v>2.5040450311873729E-3</v>
      </c>
      <c r="AC68" s="194">
        <v>6000</v>
      </c>
      <c r="AD68" s="203">
        <f>AC68/AC12</f>
        <v>7.4512858218237351E-3</v>
      </c>
      <c r="AE68" s="75"/>
      <c r="AF68" s="158"/>
      <c r="AG68" s="75"/>
      <c r="AH68" s="194">
        <v>6000</v>
      </c>
      <c r="AI68" s="244">
        <f>AH68/AH12</f>
        <v>7.4512858218237351E-3</v>
      </c>
      <c r="AJ68" s="282">
        <f t="shared" si="16"/>
        <v>17908.633000000002</v>
      </c>
      <c r="AK68" s="1"/>
      <c r="AL68" s="53"/>
      <c r="AM68" s="53">
        <f t="shared" si="17"/>
        <v>47000</v>
      </c>
      <c r="AN68" s="53" t="e">
        <f>#REF!-AM68</f>
        <v>#REF!</v>
      </c>
      <c r="AO68" s="53"/>
    </row>
    <row r="69" spans="1:41">
      <c r="A69" s="2">
        <v>6128</v>
      </c>
      <c r="B69" s="107" t="s">
        <v>99</v>
      </c>
      <c r="C69" s="130"/>
      <c r="D69" s="49"/>
      <c r="E69" s="43"/>
      <c r="F69" s="49"/>
      <c r="G69" s="80"/>
      <c r="H69" s="49"/>
      <c r="I69" s="18"/>
      <c r="J69" s="49"/>
      <c r="K69" s="43"/>
      <c r="L69" s="49"/>
      <c r="M69" s="18"/>
      <c r="N69" s="49"/>
      <c r="O69" s="18"/>
      <c r="P69" s="49"/>
      <c r="Q69" s="18"/>
      <c r="R69" s="49"/>
      <c r="S69" s="18"/>
      <c r="T69" s="49"/>
      <c r="U69" s="43"/>
      <c r="V69" s="49"/>
      <c r="W69" s="33"/>
      <c r="X69" s="49"/>
      <c r="Y69" s="43"/>
      <c r="Z69" s="168"/>
      <c r="AA69" s="275">
        <f t="shared" si="19"/>
        <v>0</v>
      </c>
      <c r="AB69" s="203"/>
      <c r="AC69" s="194">
        <v>0</v>
      </c>
      <c r="AD69" s="203"/>
      <c r="AE69" s="75"/>
      <c r="AF69" s="158"/>
      <c r="AG69" s="75"/>
      <c r="AH69" s="194">
        <v>0</v>
      </c>
      <c r="AI69" s="244"/>
      <c r="AJ69" s="282">
        <f t="shared" si="16"/>
        <v>0</v>
      </c>
      <c r="AK69" s="1"/>
      <c r="AL69" s="53"/>
      <c r="AM69" s="53">
        <f t="shared" si="17"/>
        <v>0</v>
      </c>
      <c r="AN69" s="53" t="e">
        <f>#REF!-AM69</f>
        <v>#REF!</v>
      </c>
      <c r="AO69" s="53"/>
    </row>
    <row r="70" spans="1:41" ht="15.75" thickBot="1">
      <c r="A70" s="4">
        <v>6199</v>
      </c>
      <c r="B70" s="109" t="s">
        <v>24</v>
      </c>
      <c r="C70" s="27">
        <f>SUM(C42:C69)</f>
        <v>9558.4920000000002</v>
      </c>
      <c r="D70" s="68">
        <f>C70/C12</f>
        <v>3.7781944812266051E-2</v>
      </c>
      <c r="E70" s="55">
        <f>SUM(E42:E68)</f>
        <v>11350</v>
      </c>
      <c r="F70" s="68">
        <f>E70/E12</f>
        <v>6.8497550062718737E-2</v>
      </c>
      <c r="G70" s="82">
        <f>SUM(G42:G68)</f>
        <v>11350</v>
      </c>
      <c r="H70" s="68">
        <f>G70/G12</f>
        <v>5.8083561769916338E-2</v>
      </c>
      <c r="I70" s="20">
        <f>SUM(I42:I68)</f>
        <v>11380</v>
      </c>
      <c r="J70" s="68">
        <f>I70/I12</f>
        <v>5.3018069937790173E-2</v>
      </c>
      <c r="K70" s="55">
        <f>SUM(K42:K68)</f>
        <v>11380</v>
      </c>
      <c r="L70" s="68">
        <f>K70/K12</f>
        <v>5.9653194941418658E-2</v>
      </c>
      <c r="M70" s="20">
        <f>SUM(M42:M68)</f>
        <v>11380</v>
      </c>
      <c r="N70" s="68">
        <f>M70/M12</f>
        <v>5.6158749563843896E-2</v>
      </c>
      <c r="O70" s="20">
        <f>SUM(O42:O68)</f>
        <v>11380</v>
      </c>
      <c r="P70" s="68">
        <f>O70/O12</f>
        <v>5.9299923844846489E-2</v>
      </c>
      <c r="Q70" s="20">
        <f>SUM(Q42:Q68)</f>
        <v>11380</v>
      </c>
      <c r="R70" s="68">
        <f>Q70/Q12</f>
        <v>6.3228823322499433E-2</v>
      </c>
      <c r="S70" s="20">
        <f>SUM(S42:S68)</f>
        <v>11380</v>
      </c>
      <c r="T70" s="68">
        <f>S70/S12</f>
        <v>6.9999701528611791E-2</v>
      </c>
      <c r="U70" s="55">
        <f>SUM(U42:U68)</f>
        <v>11380</v>
      </c>
      <c r="V70" s="68">
        <f>U70/U12</f>
        <v>4.9066149873176472E-2</v>
      </c>
      <c r="W70" s="34">
        <f>SUM(W42:W68)</f>
        <v>11380</v>
      </c>
      <c r="X70" s="68">
        <f>W70/W12</f>
        <v>7.3352593176073844E-2</v>
      </c>
      <c r="Y70" s="55">
        <f>SUM(Y42:Y68)</f>
        <v>11360</v>
      </c>
      <c r="Z70" s="212">
        <f>Y70/Y12</f>
        <v>5.2604325456585901E-2</v>
      </c>
      <c r="AA70" s="200">
        <f>SUM(AA42:AA69)</f>
        <v>134658.492</v>
      </c>
      <c r="AB70" s="234">
        <f>AA70/AA12</f>
        <v>5.7067502381648101E-2</v>
      </c>
      <c r="AC70" s="200">
        <f>SUM(AC42:AC69)</f>
        <v>135144.62900000002</v>
      </c>
      <c r="AD70" s="234">
        <f>AC70/AC12</f>
        <v>0.16783354299388817</v>
      </c>
      <c r="AE70" s="75"/>
      <c r="AF70" s="158"/>
      <c r="AG70" s="75"/>
      <c r="AH70" s="200">
        <f>SUM(AH42:AH69)</f>
        <v>135144.62900000002</v>
      </c>
      <c r="AI70" s="248">
        <f>AH70/AH12</f>
        <v>0.16783354299388817</v>
      </c>
      <c r="AJ70" s="286">
        <f t="shared" ref="AJ70:AJ133" si="20">SUM(AA70+AC70+AH70)</f>
        <v>404947.75000000006</v>
      </c>
      <c r="AK70" s="1"/>
      <c r="AL70" s="53"/>
      <c r="AM70" s="53">
        <f t="shared" si="17"/>
        <v>1069250</v>
      </c>
      <c r="AN70" s="53" t="e">
        <f>#REF!-AM70</f>
        <v>#REF!</v>
      </c>
      <c r="AO70" s="53"/>
    </row>
    <row r="71" spans="1:41" ht="15.75" thickTop="1">
      <c r="A71" s="98">
        <v>6201</v>
      </c>
      <c r="B71" s="108" t="s">
        <v>25</v>
      </c>
      <c r="C71" s="80">
        <v>7307.3019999999997</v>
      </c>
      <c r="D71" s="49">
        <f>C71/C12</f>
        <v>2.8883644082200552E-2</v>
      </c>
      <c r="E71" s="80">
        <v>7000</v>
      </c>
      <c r="F71" s="49">
        <f>E71/E12</f>
        <v>4.2245185060707596E-2</v>
      </c>
      <c r="G71" s="80">
        <v>7000</v>
      </c>
      <c r="H71" s="49">
        <f>G71/G12</f>
        <v>3.5822461003472632E-2</v>
      </c>
      <c r="I71" s="80">
        <v>7000</v>
      </c>
      <c r="J71" s="49">
        <f>I71/I12</f>
        <v>3.2612169557515926E-2</v>
      </c>
      <c r="K71" s="80">
        <v>7000</v>
      </c>
      <c r="L71" s="49">
        <f>K71/K12</f>
        <v>3.6693529401575622E-2</v>
      </c>
      <c r="M71" s="80">
        <v>7000</v>
      </c>
      <c r="N71" s="49">
        <f>M71/M12</f>
        <v>3.4544046304649148E-2</v>
      </c>
      <c r="O71" s="80">
        <v>7000</v>
      </c>
      <c r="P71" s="49">
        <f>O71/O12</f>
        <v>3.6476227321083077E-2</v>
      </c>
      <c r="Q71" s="80">
        <v>7000</v>
      </c>
      <c r="R71" s="49">
        <f>Q71/Q12</f>
        <v>3.8892949319639374E-2</v>
      </c>
      <c r="S71" s="80">
        <v>7000</v>
      </c>
      <c r="T71" s="49">
        <f>S71/S12</f>
        <v>4.3057812891061739E-2</v>
      </c>
      <c r="U71" s="80">
        <v>7000</v>
      </c>
      <c r="V71" s="49">
        <f>U71/U12</f>
        <v>3.0181287268210483E-2</v>
      </c>
      <c r="W71" s="80">
        <v>7000</v>
      </c>
      <c r="X71" s="49">
        <f>W71/W12</f>
        <v>4.5120224273507634E-2</v>
      </c>
      <c r="Y71" s="80">
        <v>7000</v>
      </c>
      <c r="Z71" s="168">
        <f>Y71/Y12</f>
        <v>3.2414637165149765E-2</v>
      </c>
      <c r="AA71" s="275">
        <f t="shared" ref="AA71:AA86" si="21">C71+E71+G71+I71+K71+M71+O71+Q71+S71+U71+W71+Y71</f>
        <v>84307.301999999996</v>
      </c>
      <c r="AB71" s="203">
        <f>AA71/AA12</f>
        <v>3.5728954677996291E-2</v>
      </c>
      <c r="AC71" s="197">
        <v>84307.301999999996</v>
      </c>
      <c r="AD71" s="203">
        <f>AC71/AC12</f>
        <v>0.10469963401146865</v>
      </c>
      <c r="AE71" s="75"/>
      <c r="AF71" s="158"/>
      <c r="AG71" s="75"/>
      <c r="AH71" s="197">
        <v>84307.301999999996</v>
      </c>
      <c r="AI71" s="244">
        <f>AH71/AH12</f>
        <v>0.10469963401146865</v>
      </c>
      <c r="AJ71" s="282">
        <f t="shared" si="20"/>
        <v>252921.90599999999</v>
      </c>
      <c r="AK71" s="1"/>
      <c r="AL71" s="53"/>
      <c r="AM71" s="53">
        <f t="shared" si="17"/>
        <v>658000</v>
      </c>
      <c r="AN71" s="53" t="e">
        <f>#REF!-AM71</f>
        <v>#REF!</v>
      </c>
      <c r="AO71" s="53"/>
    </row>
    <row r="72" spans="1:41">
      <c r="A72" s="2">
        <v>6202</v>
      </c>
      <c r="B72" s="108" t="s">
        <v>26</v>
      </c>
      <c r="C72" s="80">
        <v>2087.8000000000002</v>
      </c>
      <c r="D72" s="49">
        <f>C72/C12</f>
        <v>8.2524674790802836E-3</v>
      </c>
      <c r="E72" s="80">
        <v>2000</v>
      </c>
      <c r="F72" s="49">
        <f>E72/E12</f>
        <v>1.2070052874487884E-2</v>
      </c>
      <c r="G72" s="80">
        <v>2000</v>
      </c>
      <c r="H72" s="49">
        <f>G72/G12</f>
        <v>1.0234988858135037E-2</v>
      </c>
      <c r="I72" s="80">
        <v>2000</v>
      </c>
      <c r="J72" s="49">
        <f>I72/I12</f>
        <v>9.3177627307188347E-3</v>
      </c>
      <c r="K72" s="80">
        <v>2000</v>
      </c>
      <c r="L72" s="49">
        <f>K72/K12</f>
        <v>1.0483865543307321E-2</v>
      </c>
      <c r="M72" s="80">
        <v>2000</v>
      </c>
      <c r="N72" s="49">
        <f>M72/M12</f>
        <v>9.8697275156140411E-3</v>
      </c>
      <c r="O72" s="80">
        <v>2000</v>
      </c>
      <c r="P72" s="49">
        <f>O72/O12</f>
        <v>1.0421779234595165E-2</v>
      </c>
      <c r="Q72" s="80">
        <v>2000</v>
      </c>
      <c r="R72" s="49">
        <f>Q72/Q12</f>
        <v>1.1112271234182677E-2</v>
      </c>
      <c r="S72" s="80">
        <v>2000</v>
      </c>
      <c r="T72" s="49">
        <f>S72/S12</f>
        <v>1.2302232254589068E-2</v>
      </c>
      <c r="U72" s="80">
        <v>2000</v>
      </c>
      <c r="V72" s="49">
        <f>U72/U12</f>
        <v>8.6232249337744246E-3</v>
      </c>
      <c r="W72" s="80">
        <v>2000</v>
      </c>
      <c r="X72" s="49">
        <f>W72/W12</f>
        <v>1.2891492649573609E-2</v>
      </c>
      <c r="Y72" s="80">
        <v>2000</v>
      </c>
      <c r="Z72" s="168">
        <f>Y72/Y12</f>
        <v>9.261324904328504E-3</v>
      </c>
      <c r="AA72" s="275">
        <f t="shared" si="21"/>
        <v>24087.8</v>
      </c>
      <c r="AB72" s="203">
        <f>AA72/AA12</f>
        <v>1.0208272522973622E-2</v>
      </c>
      <c r="AC72" s="197">
        <v>24087.8</v>
      </c>
      <c r="AD72" s="203">
        <f>AC72/AC12</f>
        <v>2.9914180436487629E-2</v>
      </c>
      <c r="AE72" s="75"/>
      <c r="AF72" s="158"/>
      <c r="AG72" s="75"/>
      <c r="AH72" s="197">
        <v>24087.8</v>
      </c>
      <c r="AI72" s="244">
        <f>AH72/AH12</f>
        <v>2.9914180436487629E-2</v>
      </c>
      <c r="AJ72" s="282">
        <f t="shared" si="20"/>
        <v>72263.399999999994</v>
      </c>
      <c r="AK72" s="1"/>
      <c r="AL72" s="53"/>
      <c r="AM72" s="53">
        <f t="shared" si="17"/>
        <v>188000</v>
      </c>
      <c r="AN72" s="53" t="e">
        <f>#REF!-AM72</f>
        <v>#REF!</v>
      </c>
      <c r="AO72" s="53"/>
    </row>
    <row r="73" spans="1:41">
      <c r="A73" s="2">
        <v>6203</v>
      </c>
      <c r="B73" s="108" t="s">
        <v>27</v>
      </c>
      <c r="C73" s="80">
        <v>1043.9000000000001</v>
      </c>
      <c r="D73" s="49">
        <f>C73/C12</f>
        <v>4.1262337395401418E-3</v>
      </c>
      <c r="E73" s="80">
        <v>1000</v>
      </c>
      <c r="F73" s="49">
        <f>E73/E12</f>
        <v>6.0350264372439422E-3</v>
      </c>
      <c r="G73" s="80">
        <v>1000</v>
      </c>
      <c r="H73" s="49">
        <f>G73/G12</f>
        <v>5.1174944290675187E-3</v>
      </c>
      <c r="I73" s="80">
        <v>1000</v>
      </c>
      <c r="J73" s="49">
        <f>I73/I12</f>
        <v>4.6588813653594173E-3</v>
      </c>
      <c r="K73" s="80">
        <v>1000</v>
      </c>
      <c r="L73" s="49">
        <f>K73/K12</f>
        <v>5.2419327716536606E-3</v>
      </c>
      <c r="M73" s="80">
        <v>1000</v>
      </c>
      <c r="N73" s="49">
        <f>M73/M12</f>
        <v>4.9348637578070205E-3</v>
      </c>
      <c r="O73" s="80">
        <v>1000</v>
      </c>
      <c r="P73" s="49">
        <f>O73/O12</f>
        <v>5.2108896172975826E-3</v>
      </c>
      <c r="Q73" s="80">
        <v>1000</v>
      </c>
      <c r="R73" s="49">
        <f>Q73/Q12</f>
        <v>5.5561356170913383E-3</v>
      </c>
      <c r="S73" s="80">
        <v>1000</v>
      </c>
      <c r="T73" s="49">
        <f>S73/S12</f>
        <v>6.1511161272945342E-3</v>
      </c>
      <c r="U73" s="80">
        <v>1000</v>
      </c>
      <c r="V73" s="49">
        <f>U73/U12</f>
        <v>4.3116124668872123E-3</v>
      </c>
      <c r="W73" s="80">
        <v>1000</v>
      </c>
      <c r="X73" s="49">
        <f>W73/W12</f>
        <v>6.4457463247868047E-3</v>
      </c>
      <c r="Y73" s="80">
        <v>1000</v>
      </c>
      <c r="Z73" s="168">
        <f>Y73/Y12</f>
        <v>4.630662452164252E-3</v>
      </c>
      <c r="AA73" s="275">
        <f t="shared" si="21"/>
        <v>12043.9</v>
      </c>
      <c r="AB73" s="203">
        <f>AA73/AA12</f>
        <v>5.1041362614868109E-3</v>
      </c>
      <c r="AC73" s="197">
        <v>12043.9</v>
      </c>
      <c r="AD73" s="203">
        <f>AC73/AC12</f>
        <v>1.4957090218243815E-2</v>
      </c>
      <c r="AE73" s="75"/>
      <c r="AF73" s="158"/>
      <c r="AG73" s="75"/>
      <c r="AH73" s="197">
        <v>12043.9</v>
      </c>
      <c r="AI73" s="244">
        <f>AH73/AH12</f>
        <v>1.4957090218243815E-2</v>
      </c>
      <c r="AJ73" s="282">
        <f t="shared" si="20"/>
        <v>36131.699999999997</v>
      </c>
      <c r="AK73" s="1"/>
      <c r="AL73" s="53"/>
      <c r="AM73" s="53">
        <f t="shared" si="17"/>
        <v>94000</v>
      </c>
      <c r="AN73" s="53" t="e">
        <f>#REF!-AM73</f>
        <v>#REF!</v>
      </c>
      <c r="AO73" s="53"/>
    </row>
    <row r="74" spans="1:41">
      <c r="A74" s="2">
        <v>6204</v>
      </c>
      <c r="B74" s="108" t="s">
        <v>28</v>
      </c>
      <c r="C74" s="130"/>
      <c r="D74" s="49">
        <f>C74/C12</f>
        <v>0</v>
      </c>
      <c r="E74" s="130"/>
      <c r="F74" s="49">
        <f>E74/E12</f>
        <v>0</v>
      </c>
      <c r="G74" s="130"/>
      <c r="H74" s="49">
        <f>G74/G12</f>
        <v>0</v>
      </c>
      <c r="I74" s="130"/>
      <c r="J74" s="49">
        <f>I74/I12</f>
        <v>0</v>
      </c>
      <c r="K74" s="130"/>
      <c r="L74" s="49">
        <f>K74/K12</f>
        <v>0</v>
      </c>
      <c r="M74" s="130"/>
      <c r="N74" s="49">
        <f>M74/M12</f>
        <v>0</v>
      </c>
      <c r="O74" s="130"/>
      <c r="P74" s="49">
        <f>O74/O12</f>
        <v>0</v>
      </c>
      <c r="Q74" s="130"/>
      <c r="R74" s="49">
        <f>Q74/Q12</f>
        <v>0</v>
      </c>
      <c r="S74" s="130"/>
      <c r="T74" s="49">
        <f>S74/S12</f>
        <v>0</v>
      </c>
      <c r="U74" s="130"/>
      <c r="V74" s="49">
        <f>U74/U12</f>
        <v>0</v>
      </c>
      <c r="W74" s="130"/>
      <c r="X74" s="49">
        <f>W74/W12</f>
        <v>0</v>
      </c>
      <c r="Y74" s="130"/>
      <c r="Z74" s="168">
        <f>Y74/Y12</f>
        <v>0</v>
      </c>
      <c r="AA74" s="275">
        <f t="shared" si="21"/>
        <v>0</v>
      </c>
      <c r="AB74" s="203">
        <f>AA74/AA12</f>
        <v>0</v>
      </c>
      <c r="AC74" s="194">
        <v>0</v>
      </c>
      <c r="AD74" s="203">
        <f>AC74/AC12</f>
        <v>0</v>
      </c>
      <c r="AE74" s="75"/>
      <c r="AF74" s="158"/>
      <c r="AG74" s="75"/>
      <c r="AH74" s="194">
        <v>0</v>
      </c>
      <c r="AI74" s="244">
        <f>AH74/AH12</f>
        <v>0</v>
      </c>
      <c r="AJ74" s="282">
        <f t="shared" si="20"/>
        <v>0</v>
      </c>
      <c r="AK74" s="1"/>
      <c r="AL74" s="53"/>
      <c r="AM74" s="53">
        <f t="shared" si="17"/>
        <v>0</v>
      </c>
      <c r="AN74" s="53" t="e">
        <f>#REF!-AM74</f>
        <v>#REF!</v>
      </c>
      <c r="AO74" s="53"/>
    </row>
    <row r="75" spans="1:41">
      <c r="A75" s="2">
        <v>6205</v>
      </c>
      <c r="B75" s="108" t="s">
        <v>29</v>
      </c>
      <c r="C75" s="130"/>
      <c r="D75" s="49">
        <f>C75/C12</f>
        <v>0</v>
      </c>
      <c r="E75" s="130"/>
      <c r="F75" s="49">
        <f>E75/E12</f>
        <v>0</v>
      </c>
      <c r="G75" s="130"/>
      <c r="H75" s="49">
        <f>G75/G12</f>
        <v>0</v>
      </c>
      <c r="I75" s="130"/>
      <c r="J75" s="49">
        <f>I75/I12</f>
        <v>0</v>
      </c>
      <c r="K75" s="130"/>
      <c r="L75" s="49">
        <f>K75/K12</f>
        <v>0</v>
      </c>
      <c r="M75" s="130"/>
      <c r="N75" s="49">
        <f>M75/M12</f>
        <v>0</v>
      </c>
      <c r="O75" s="130"/>
      <c r="P75" s="49">
        <f>O75/O12</f>
        <v>0</v>
      </c>
      <c r="Q75" s="130"/>
      <c r="R75" s="49">
        <f>Q75/Q12</f>
        <v>0</v>
      </c>
      <c r="S75" s="130"/>
      <c r="T75" s="49">
        <f>S75/S12</f>
        <v>0</v>
      </c>
      <c r="U75" s="130"/>
      <c r="V75" s="49">
        <f>U75/U12</f>
        <v>0</v>
      </c>
      <c r="W75" s="130"/>
      <c r="X75" s="49">
        <f>W75/W12</f>
        <v>0</v>
      </c>
      <c r="Y75" s="130"/>
      <c r="Z75" s="168">
        <f>Y75/Y12</f>
        <v>0</v>
      </c>
      <c r="AA75" s="275">
        <f t="shared" si="21"/>
        <v>0</v>
      </c>
      <c r="AB75" s="203">
        <f>AA75/AA12</f>
        <v>0</v>
      </c>
      <c r="AC75" s="194">
        <v>0</v>
      </c>
      <c r="AD75" s="203">
        <f>AC75/AC12</f>
        <v>0</v>
      </c>
      <c r="AE75" s="75"/>
      <c r="AF75" s="158"/>
      <c r="AG75" s="75"/>
      <c r="AH75" s="194">
        <v>0</v>
      </c>
      <c r="AI75" s="244">
        <f>AH75/AH12</f>
        <v>0</v>
      </c>
      <c r="AJ75" s="282">
        <f t="shared" si="20"/>
        <v>0</v>
      </c>
      <c r="AK75" s="1"/>
      <c r="AL75" s="53"/>
      <c r="AM75" s="53">
        <f t="shared" ref="AM75:AM131" si="22">G75*9.4+I75*9.4+K75*9.4+M75*9.4+O75*9.4+Q75*9.4+S75*9.4+U75*9.4+W75*9.4+Y75*9.4</f>
        <v>0</v>
      </c>
      <c r="AN75" s="53" t="e">
        <f>#REF!-AM75</f>
        <v>#REF!</v>
      </c>
      <c r="AO75" s="53"/>
    </row>
    <row r="76" spans="1:41">
      <c r="A76" s="2">
        <v>6206</v>
      </c>
      <c r="B76" s="2" t="s">
        <v>174</v>
      </c>
      <c r="C76" s="130"/>
      <c r="D76" s="49">
        <f>C76/C12</f>
        <v>0</v>
      </c>
      <c r="E76" s="130"/>
      <c r="F76" s="49">
        <f>E76/E12</f>
        <v>0</v>
      </c>
      <c r="G76" s="130"/>
      <c r="H76" s="49">
        <f>G76/G12</f>
        <v>0</v>
      </c>
      <c r="I76" s="130"/>
      <c r="J76" s="49">
        <f>I76/I12</f>
        <v>0</v>
      </c>
      <c r="K76" s="130">
        <v>0</v>
      </c>
      <c r="L76" s="49">
        <f>K76/K12</f>
        <v>0</v>
      </c>
      <c r="M76" s="130"/>
      <c r="N76" s="49">
        <f>M76/M12</f>
        <v>0</v>
      </c>
      <c r="O76" s="130"/>
      <c r="P76" s="49">
        <f>O76/O12</f>
        <v>0</v>
      </c>
      <c r="Q76" s="130"/>
      <c r="R76" s="49">
        <f>Q76/Q12</f>
        <v>0</v>
      </c>
      <c r="S76" s="130"/>
      <c r="T76" s="49">
        <f>S76/S12</f>
        <v>0</v>
      </c>
      <c r="U76" s="130"/>
      <c r="V76" s="49">
        <f>U76/U12</f>
        <v>0</v>
      </c>
      <c r="W76" s="130"/>
      <c r="X76" s="49">
        <f>W76/W12</f>
        <v>0</v>
      </c>
      <c r="Y76" s="80"/>
      <c r="Z76" s="168">
        <f>Y76/Y12</f>
        <v>0</v>
      </c>
      <c r="AA76" s="275">
        <f t="shared" si="21"/>
        <v>0</v>
      </c>
      <c r="AB76" s="203">
        <f>AA76/AA12</f>
        <v>0</v>
      </c>
      <c r="AC76" s="194">
        <v>0</v>
      </c>
      <c r="AD76" s="203">
        <f>AC76/AC12</f>
        <v>0</v>
      </c>
      <c r="AE76" s="75"/>
      <c r="AF76" s="158"/>
      <c r="AG76" s="75"/>
      <c r="AH76" s="194">
        <v>0</v>
      </c>
      <c r="AI76" s="244">
        <f>AH76/AH12</f>
        <v>0</v>
      </c>
      <c r="AJ76" s="282">
        <f t="shared" si="20"/>
        <v>0</v>
      </c>
      <c r="AK76" s="1"/>
      <c r="AL76" s="53"/>
      <c r="AM76" s="53">
        <f t="shared" si="22"/>
        <v>0</v>
      </c>
      <c r="AN76" s="53" t="e">
        <f>#REF!-AM76</f>
        <v>#REF!</v>
      </c>
      <c r="AO76" s="53"/>
    </row>
    <row r="77" spans="1:41">
      <c r="A77" s="2">
        <v>6207</v>
      </c>
      <c r="B77" s="2" t="s">
        <v>175</v>
      </c>
      <c r="C77" s="130">
        <v>35.1</v>
      </c>
      <c r="D77" s="49">
        <f>C77/C12</f>
        <v>1.3874011328466229E-4</v>
      </c>
      <c r="E77" s="130">
        <v>100</v>
      </c>
      <c r="F77" s="49">
        <f>E77/E12</f>
        <v>6.0350264372439422E-4</v>
      </c>
      <c r="G77" s="130">
        <v>100</v>
      </c>
      <c r="H77" s="49">
        <f>G77/G12</f>
        <v>5.1174944290675189E-4</v>
      </c>
      <c r="I77" s="130">
        <v>100</v>
      </c>
      <c r="J77" s="49">
        <f>I77/I12</f>
        <v>4.6588813653594175E-4</v>
      </c>
      <c r="K77" s="130">
        <v>100</v>
      </c>
      <c r="L77" s="49">
        <f>K77/K12</f>
        <v>5.2419327716536602E-4</v>
      </c>
      <c r="M77" s="130">
        <v>100</v>
      </c>
      <c r="N77" s="49">
        <f>M77/M12</f>
        <v>4.9348637578070214E-4</v>
      </c>
      <c r="O77" s="130">
        <v>100</v>
      </c>
      <c r="P77" s="49">
        <f>O77/O12</f>
        <v>5.2108896172975829E-4</v>
      </c>
      <c r="Q77" s="130">
        <v>100</v>
      </c>
      <c r="R77" s="49">
        <f>Q77/Q12</f>
        <v>5.556135617091339E-4</v>
      </c>
      <c r="S77" s="130">
        <v>100</v>
      </c>
      <c r="T77" s="49">
        <f>S77/S12</f>
        <v>6.1511161272945344E-4</v>
      </c>
      <c r="U77" s="130">
        <v>100</v>
      </c>
      <c r="V77" s="49">
        <f>U77/U12</f>
        <v>4.3116124668872121E-4</v>
      </c>
      <c r="W77" s="130">
        <v>100</v>
      </c>
      <c r="X77" s="49">
        <f>W77/W12</f>
        <v>6.4457463247868051E-4</v>
      </c>
      <c r="Y77" s="130">
        <v>100</v>
      </c>
      <c r="Z77" s="168">
        <f>Y77/Y12</f>
        <v>4.6306624521642522E-4</v>
      </c>
      <c r="AA77" s="275">
        <f t="shared" si="21"/>
        <v>1135.0999999999999</v>
      </c>
      <c r="AB77" s="203">
        <f>AA77/AA12</f>
        <v>4.8104891857402325E-4</v>
      </c>
      <c r="AC77" s="194">
        <v>1135.0999999999999</v>
      </c>
      <c r="AD77" s="203">
        <f>AC77/AC12</f>
        <v>1.4096590893920202E-3</v>
      </c>
      <c r="AE77" s="75"/>
      <c r="AF77" s="158"/>
      <c r="AG77" s="75"/>
      <c r="AH77" s="194">
        <v>1135.0999999999999</v>
      </c>
      <c r="AI77" s="244">
        <f>AH77/AH12</f>
        <v>1.4096590893920202E-3</v>
      </c>
      <c r="AJ77" s="282">
        <f t="shared" si="20"/>
        <v>3405.2999999999997</v>
      </c>
      <c r="AK77" s="1"/>
      <c r="AL77" s="53"/>
      <c r="AM77" s="53">
        <f t="shared" si="22"/>
        <v>9400</v>
      </c>
      <c r="AN77" s="53" t="e">
        <f>#REF!-AM77</f>
        <v>#REF!</v>
      </c>
      <c r="AO77" s="53"/>
    </row>
    <row r="78" spans="1:41">
      <c r="A78" s="2">
        <v>6208</v>
      </c>
      <c r="B78" s="2" t="s">
        <v>176</v>
      </c>
      <c r="C78" s="130"/>
      <c r="D78" s="49">
        <f>C78/C12</f>
        <v>0</v>
      </c>
      <c r="E78" s="130"/>
      <c r="F78" s="49">
        <f>E78/E12</f>
        <v>0</v>
      </c>
      <c r="G78" s="130"/>
      <c r="H78" s="49">
        <f>G78/G12</f>
        <v>0</v>
      </c>
      <c r="I78" s="130"/>
      <c r="J78" s="49">
        <f>I78/I12</f>
        <v>0</v>
      </c>
      <c r="K78" s="130"/>
      <c r="L78" s="49">
        <f>K78/K12</f>
        <v>0</v>
      </c>
      <c r="M78" s="130"/>
      <c r="N78" s="49">
        <f>M78/M12</f>
        <v>0</v>
      </c>
      <c r="O78" s="130"/>
      <c r="P78" s="49">
        <f>O78/O12</f>
        <v>0</v>
      </c>
      <c r="Q78" s="130"/>
      <c r="R78" s="49">
        <f>Q78/Q12</f>
        <v>0</v>
      </c>
      <c r="S78" s="130"/>
      <c r="T78" s="49">
        <f>S78/S12</f>
        <v>0</v>
      </c>
      <c r="U78" s="130"/>
      <c r="V78" s="49">
        <f>U78/U12</f>
        <v>0</v>
      </c>
      <c r="W78" s="130"/>
      <c r="X78" s="49">
        <f>W78/W12</f>
        <v>0</v>
      </c>
      <c r="Y78" s="80"/>
      <c r="Z78" s="168">
        <f>Y78/Y12</f>
        <v>0</v>
      </c>
      <c r="AA78" s="275">
        <f t="shared" si="21"/>
        <v>0</v>
      </c>
      <c r="AB78" s="203">
        <f>AA78/AA12</f>
        <v>0</v>
      </c>
      <c r="AC78" s="194">
        <v>0</v>
      </c>
      <c r="AD78" s="203">
        <f>AC78/AC12</f>
        <v>0</v>
      </c>
      <c r="AE78" s="75"/>
      <c r="AF78" s="158"/>
      <c r="AG78" s="75"/>
      <c r="AH78" s="194">
        <v>0</v>
      </c>
      <c r="AI78" s="244">
        <f>AH78/AH12</f>
        <v>0</v>
      </c>
      <c r="AJ78" s="282">
        <f t="shared" si="20"/>
        <v>0</v>
      </c>
      <c r="AK78" s="1"/>
      <c r="AL78" s="53"/>
      <c r="AM78" s="53">
        <f t="shared" si="22"/>
        <v>0</v>
      </c>
      <c r="AN78" s="53" t="e">
        <f>#REF!-AM78</f>
        <v>#REF!</v>
      </c>
      <c r="AO78" s="53"/>
    </row>
    <row r="79" spans="1:41">
      <c r="A79" s="2">
        <v>6209</v>
      </c>
      <c r="B79" s="108" t="s">
        <v>30</v>
      </c>
      <c r="C79" s="130">
        <v>656.39</v>
      </c>
      <c r="D79" s="49">
        <f>C79/C12</f>
        <v>2.5945191726187886E-3</v>
      </c>
      <c r="E79" s="130">
        <v>650</v>
      </c>
      <c r="F79" s="49">
        <f>E79/E12</f>
        <v>3.9227671842085622E-3</v>
      </c>
      <c r="G79" s="130">
        <v>650</v>
      </c>
      <c r="H79" s="49">
        <f>G79/G12</f>
        <v>3.326371378893887E-3</v>
      </c>
      <c r="I79" s="130">
        <v>650</v>
      </c>
      <c r="J79" s="49">
        <f>I79/I12</f>
        <v>3.0282728874836216E-3</v>
      </c>
      <c r="K79" s="130">
        <v>650</v>
      </c>
      <c r="L79" s="49">
        <f>K79/K12</f>
        <v>3.4072563015748792E-3</v>
      </c>
      <c r="M79" s="130">
        <v>650</v>
      </c>
      <c r="N79" s="49">
        <f>M79/M12</f>
        <v>3.2076614425745635E-3</v>
      </c>
      <c r="O79" s="130">
        <v>650</v>
      </c>
      <c r="P79" s="49">
        <f>O79/O12</f>
        <v>3.3870782512434288E-3</v>
      </c>
      <c r="Q79" s="130">
        <v>650</v>
      </c>
      <c r="R79" s="49">
        <f>Q79/Q12</f>
        <v>3.6114881511093702E-3</v>
      </c>
      <c r="S79" s="130">
        <v>650</v>
      </c>
      <c r="T79" s="49">
        <f>S79/S12</f>
        <v>3.9982254827414469E-3</v>
      </c>
      <c r="U79" s="130">
        <v>650</v>
      </c>
      <c r="V79" s="49">
        <f>U79/U12</f>
        <v>2.8025481034766879E-3</v>
      </c>
      <c r="W79" s="130">
        <v>650</v>
      </c>
      <c r="X79" s="49">
        <f>W79/W12</f>
        <v>4.189735111111423E-3</v>
      </c>
      <c r="Y79" s="130">
        <v>650</v>
      </c>
      <c r="Z79" s="168">
        <f>Y79/Y12</f>
        <v>3.0099305939067641E-3</v>
      </c>
      <c r="AA79" s="275">
        <f t="shared" si="21"/>
        <v>7806.3899999999994</v>
      </c>
      <c r="AB79" s="203">
        <f>AA79/AA12</f>
        <v>3.3083036450242877E-3</v>
      </c>
      <c r="AC79" s="194">
        <v>7806.3899999999994</v>
      </c>
      <c r="AD79" s="203">
        <f>AC79/AC12</f>
        <v>9.6946071877710982E-3</v>
      </c>
      <c r="AE79" s="75"/>
      <c r="AF79" s="158"/>
      <c r="AG79" s="75"/>
      <c r="AH79" s="194">
        <v>7806.3899999999994</v>
      </c>
      <c r="AI79" s="244">
        <f>AH79/AH12</f>
        <v>9.6946071877710982E-3</v>
      </c>
      <c r="AJ79" s="282">
        <f t="shared" si="20"/>
        <v>23419.17</v>
      </c>
      <c r="AK79" s="1"/>
      <c r="AL79" s="53"/>
      <c r="AM79" s="53">
        <f t="shared" si="22"/>
        <v>61100</v>
      </c>
      <c r="AN79" s="53" t="e">
        <f>#REF!-AM79</f>
        <v>#REF!</v>
      </c>
      <c r="AO79" s="53"/>
    </row>
    <row r="80" spans="1:41">
      <c r="A80" s="2">
        <v>6210</v>
      </c>
      <c r="B80" s="108" t="s">
        <v>31</v>
      </c>
      <c r="C80" s="130">
        <v>175.39</v>
      </c>
      <c r="D80" s="49">
        <f>C80/C12</f>
        <v>6.9326576834749054E-4</v>
      </c>
      <c r="E80" s="130">
        <v>175</v>
      </c>
      <c r="F80" s="49">
        <f>E80/E12</f>
        <v>1.0561296265176898E-3</v>
      </c>
      <c r="G80" s="130">
        <v>175</v>
      </c>
      <c r="H80" s="49">
        <f>G80/G12</f>
        <v>8.9556152508681573E-4</v>
      </c>
      <c r="I80" s="130">
        <v>175</v>
      </c>
      <c r="J80" s="49">
        <f>I80/I12</f>
        <v>8.153042389378981E-4</v>
      </c>
      <c r="K80" s="130">
        <v>175</v>
      </c>
      <c r="L80" s="49">
        <f>K80/K12</f>
        <v>9.1733823503939058E-4</v>
      </c>
      <c r="M80" s="130">
        <v>175</v>
      </c>
      <c r="N80" s="49">
        <f>M80/M12</f>
        <v>8.6360115761622864E-4</v>
      </c>
      <c r="O80" s="130">
        <v>175</v>
      </c>
      <c r="P80" s="49">
        <f>O80/O12</f>
        <v>9.1190568302707692E-4</v>
      </c>
      <c r="Q80" s="130">
        <v>175</v>
      </c>
      <c r="R80" s="49">
        <f>Q80/Q12</f>
        <v>9.723237329909843E-4</v>
      </c>
      <c r="S80" s="130">
        <v>175</v>
      </c>
      <c r="T80" s="49">
        <f>S80/S12</f>
        <v>1.0764453222765434E-3</v>
      </c>
      <c r="U80" s="130">
        <v>175</v>
      </c>
      <c r="V80" s="49">
        <f>U80/U12</f>
        <v>7.5453218170526209E-4</v>
      </c>
      <c r="W80" s="130">
        <v>175</v>
      </c>
      <c r="X80" s="49">
        <f>W80/W12</f>
        <v>1.1280056068376908E-3</v>
      </c>
      <c r="Y80" s="130">
        <v>175</v>
      </c>
      <c r="Z80" s="168">
        <f>Y80/Y12</f>
        <v>8.1036592912874417E-4</v>
      </c>
      <c r="AA80" s="275">
        <f t="shared" si="21"/>
        <v>2100.39</v>
      </c>
      <c r="AB80" s="203">
        <f>AA80/AA12</f>
        <v>8.9013332577190791E-4</v>
      </c>
      <c r="AC80" s="194">
        <v>2100.39</v>
      </c>
      <c r="AD80" s="203">
        <f>AC80/AC12</f>
        <v>2.6084343712167259E-3</v>
      </c>
      <c r="AE80" s="75"/>
      <c r="AF80" s="158"/>
      <c r="AG80" s="75"/>
      <c r="AH80" s="194">
        <v>2100.39</v>
      </c>
      <c r="AI80" s="244">
        <f>AH80/AH12</f>
        <v>2.6084343712167259E-3</v>
      </c>
      <c r="AJ80" s="282">
        <f t="shared" si="20"/>
        <v>6301.17</v>
      </c>
      <c r="AK80" s="1"/>
      <c r="AL80" s="53"/>
      <c r="AM80" s="53">
        <f t="shared" si="22"/>
        <v>16450</v>
      </c>
      <c r="AN80" s="53" t="e">
        <f>#REF!-AM80</f>
        <v>#REF!</v>
      </c>
      <c r="AO80" s="53"/>
    </row>
    <row r="81" spans="1:41">
      <c r="A81" s="2">
        <v>6211</v>
      </c>
      <c r="B81" s="108" t="s">
        <v>32</v>
      </c>
      <c r="C81" s="130">
        <v>177.6</v>
      </c>
      <c r="D81" s="49">
        <f>C81/C12</f>
        <v>7.0200125696171011E-4</v>
      </c>
      <c r="E81" s="130">
        <v>200</v>
      </c>
      <c r="F81" s="49">
        <f>E81/E12</f>
        <v>1.2070052874487884E-3</v>
      </c>
      <c r="G81" s="130">
        <v>200</v>
      </c>
      <c r="H81" s="49">
        <f>G81/G12</f>
        <v>1.0234988858135038E-3</v>
      </c>
      <c r="I81" s="130">
        <v>200</v>
      </c>
      <c r="J81" s="49">
        <f>I81/I12</f>
        <v>9.3177627307188351E-4</v>
      </c>
      <c r="K81" s="130">
        <v>200</v>
      </c>
      <c r="L81" s="49">
        <f>K81/K12</f>
        <v>1.048386554330732E-3</v>
      </c>
      <c r="M81" s="130">
        <v>200</v>
      </c>
      <c r="N81" s="49">
        <f>M81/M12</f>
        <v>9.8697275156140428E-4</v>
      </c>
      <c r="O81" s="130">
        <v>200</v>
      </c>
      <c r="P81" s="49">
        <f>O81/O12</f>
        <v>1.0421779234595166E-3</v>
      </c>
      <c r="Q81" s="130">
        <v>200</v>
      </c>
      <c r="R81" s="49">
        <f>Q81/Q12</f>
        <v>1.1112271234182678E-3</v>
      </c>
      <c r="S81" s="130">
        <v>200</v>
      </c>
      <c r="T81" s="49">
        <f>S81/S12</f>
        <v>1.2302232254589069E-3</v>
      </c>
      <c r="U81" s="130">
        <v>200</v>
      </c>
      <c r="V81" s="49">
        <f>U81/U12</f>
        <v>8.6232249337744242E-4</v>
      </c>
      <c r="W81" s="130">
        <v>200</v>
      </c>
      <c r="X81" s="49">
        <f>W81/W12</f>
        <v>1.289149264957361E-3</v>
      </c>
      <c r="Y81" s="130">
        <v>200</v>
      </c>
      <c r="Z81" s="168">
        <f>Y81/Y12</f>
        <v>9.2613249043285045E-4</v>
      </c>
      <c r="AA81" s="275">
        <f t="shared" si="21"/>
        <v>2377.6</v>
      </c>
      <c r="AB81" s="203">
        <f>AA81/AA12</f>
        <v>1.0076133457859199E-3</v>
      </c>
      <c r="AC81" s="194">
        <v>2377.6</v>
      </c>
      <c r="AD81" s="203">
        <f>AC81/AC12</f>
        <v>2.9526961949946856E-3</v>
      </c>
      <c r="AE81" s="75"/>
      <c r="AF81" s="158"/>
      <c r="AG81" s="75"/>
      <c r="AH81" s="194">
        <v>2377.6</v>
      </c>
      <c r="AI81" s="244">
        <f>AH81/AH12</f>
        <v>2.9526961949946856E-3</v>
      </c>
      <c r="AJ81" s="282">
        <f t="shared" si="20"/>
        <v>7132.7999999999993</v>
      </c>
      <c r="AK81" s="1"/>
      <c r="AL81" s="53"/>
      <c r="AM81" s="53">
        <f t="shared" si="22"/>
        <v>18800</v>
      </c>
      <c r="AN81" s="53" t="e">
        <f>#REF!-AM81</f>
        <v>#REF!</v>
      </c>
      <c r="AO81" s="53"/>
    </row>
    <row r="82" spans="1:41">
      <c r="A82" s="98">
        <v>6212</v>
      </c>
      <c r="B82" s="108" t="s">
        <v>33</v>
      </c>
      <c r="C82" s="23">
        <v>0</v>
      </c>
      <c r="D82" s="49">
        <f>C82/C12</f>
        <v>0</v>
      </c>
      <c r="E82" s="23"/>
      <c r="F82" s="49">
        <f>E82/E12</f>
        <v>0</v>
      </c>
      <c r="G82" s="23"/>
      <c r="H82" s="49">
        <f>G82/G12</f>
        <v>0</v>
      </c>
      <c r="I82" s="23"/>
      <c r="J82" s="49">
        <f>I82/I12</f>
        <v>0</v>
      </c>
      <c r="K82" s="23"/>
      <c r="L82" s="49">
        <f>K82/K12</f>
        <v>0</v>
      </c>
      <c r="M82" s="23"/>
      <c r="N82" s="49">
        <f>M82/M12</f>
        <v>0</v>
      </c>
      <c r="O82" s="23"/>
      <c r="P82" s="49">
        <f>O82/O12</f>
        <v>0</v>
      </c>
      <c r="Q82" s="23"/>
      <c r="R82" s="49">
        <f>Q82/Q12</f>
        <v>0</v>
      </c>
      <c r="S82" s="23">
        <v>0</v>
      </c>
      <c r="T82" s="49">
        <f>S82/S12</f>
        <v>0</v>
      </c>
      <c r="U82" s="23"/>
      <c r="V82" s="49">
        <f>U82/U12</f>
        <v>0</v>
      </c>
      <c r="W82" s="23"/>
      <c r="X82" s="49">
        <f>W82/W12</f>
        <v>0</v>
      </c>
      <c r="Y82" s="23"/>
      <c r="Z82" s="168">
        <f>Y82/Y12</f>
        <v>0</v>
      </c>
      <c r="AA82" s="275">
        <f t="shared" si="21"/>
        <v>0</v>
      </c>
      <c r="AB82" s="203">
        <f>AA82/AA12</f>
        <v>0</v>
      </c>
      <c r="AC82" s="196">
        <v>0</v>
      </c>
      <c r="AD82" s="203">
        <f>AC82/AC12</f>
        <v>0</v>
      </c>
      <c r="AE82" s="75"/>
      <c r="AF82" s="158"/>
      <c r="AG82" s="75"/>
      <c r="AH82" s="196">
        <v>0</v>
      </c>
      <c r="AI82" s="244">
        <f>AH82/AH12</f>
        <v>0</v>
      </c>
      <c r="AJ82" s="282">
        <f t="shared" si="20"/>
        <v>0</v>
      </c>
      <c r="AK82" s="1"/>
      <c r="AL82" s="53"/>
      <c r="AM82" s="53">
        <f t="shared" si="22"/>
        <v>0</v>
      </c>
      <c r="AN82" s="53" t="e">
        <f>#REF!-AM82</f>
        <v>#REF!</v>
      </c>
      <c r="AO82" s="53"/>
    </row>
    <row r="83" spans="1:41">
      <c r="A83" s="98">
        <v>6213</v>
      </c>
      <c r="B83" s="108" t="s">
        <v>34</v>
      </c>
      <c r="C83" s="134">
        <v>0</v>
      </c>
      <c r="D83" s="49">
        <f>C83/C12</f>
        <v>0</v>
      </c>
      <c r="E83" s="79"/>
      <c r="F83" s="49">
        <f>E83/E12</f>
        <v>0</v>
      </c>
      <c r="G83" s="79"/>
      <c r="H83" s="49">
        <f>G83/G12</f>
        <v>0</v>
      </c>
      <c r="I83" s="134"/>
      <c r="J83" s="49">
        <f>I83/I12</f>
        <v>0</v>
      </c>
      <c r="K83" s="79"/>
      <c r="L83" s="49">
        <f>K83/K12</f>
        <v>0</v>
      </c>
      <c r="M83" s="134"/>
      <c r="N83" s="49">
        <f>M83/M12</f>
        <v>0</v>
      </c>
      <c r="O83" s="134"/>
      <c r="P83" s="49">
        <f>O83/O12</f>
        <v>0</v>
      </c>
      <c r="Q83" s="134">
        <v>2000</v>
      </c>
      <c r="R83" s="49">
        <f>Q83/Q12</f>
        <v>1.1112271234182677E-2</v>
      </c>
      <c r="S83" s="134">
        <v>0</v>
      </c>
      <c r="T83" s="49">
        <f>S83/S12</f>
        <v>0</v>
      </c>
      <c r="U83" s="79">
        <v>2000</v>
      </c>
      <c r="V83" s="49">
        <f>U83/U12</f>
        <v>8.6232249337744246E-3</v>
      </c>
      <c r="W83" s="79"/>
      <c r="X83" s="49">
        <f>W83/W12</f>
        <v>0</v>
      </c>
      <c r="Y83" s="79"/>
      <c r="Z83" s="168">
        <f>Y83/Y12</f>
        <v>0</v>
      </c>
      <c r="AA83" s="275">
        <f t="shared" si="21"/>
        <v>4000</v>
      </c>
      <c r="AB83" s="203">
        <f>AA83/AA12</f>
        <v>1.6951772304608344E-3</v>
      </c>
      <c r="AC83" s="196">
        <v>4000</v>
      </c>
      <c r="AD83" s="203">
        <f>AC83/AC12</f>
        <v>4.967523881215824E-3</v>
      </c>
      <c r="AE83" s="75"/>
      <c r="AF83" s="158"/>
      <c r="AG83" s="75"/>
      <c r="AH83" s="196">
        <v>4000</v>
      </c>
      <c r="AI83" s="244">
        <f>AH83/AH12</f>
        <v>4.967523881215824E-3</v>
      </c>
      <c r="AJ83" s="282">
        <f t="shared" si="20"/>
        <v>12000</v>
      </c>
      <c r="AK83" s="1"/>
      <c r="AL83" s="53"/>
      <c r="AM83" s="53">
        <f t="shared" si="22"/>
        <v>37600</v>
      </c>
      <c r="AN83" s="53" t="e">
        <f>#REF!-AM83</f>
        <v>#REF!</v>
      </c>
      <c r="AO83" s="53"/>
    </row>
    <row r="84" spans="1:41">
      <c r="A84" s="2">
        <v>6214</v>
      </c>
      <c r="B84" s="108" t="s">
        <v>35</v>
      </c>
      <c r="C84" s="134">
        <v>2819.9520000000002</v>
      </c>
      <c r="D84" s="49">
        <f>C84/C12</f>
        <v>1.1146451850065813E-2</v>
      </c>
      <c r="E84" s="134"/>
      <c r="F84" s="49">
        <f>E84/E12</f>
        <v>0</v>
      </c>
      <c r="G84" s="134">
        <v>1200</v>
      </c>
      <c r="H84" s="49">
        <f>G84/G12</f>
        <v>6.1409933148810223E-3</v>
      </c>
      <c r="I84" s="134"/>
      <c r="J84" s="49">
        <f>I84/I12</f>
        <v>0</v>
      </c>
      <c r="K84" s="134"/>
      <c r="L84" s="49">
        <f>K84/K12</f>
        <v>0</v>
      </c>
      <c r="M84" s="134">
        <v>1200</v>
      </c>
      <c r="N84" s="49">
        <f>M84/M12</f>
        <v>5.9218365093684248E-3</v>
      </c>
      <c r="O84" s="134"/>
      <c r="P84" s="49">
        <f>O84/O12</f>
        <v>0</v>
      </c>
      <c r="Q84" s="134">
        <v>1200</v>
      </c>
      <c r="R84" s="49">
        <f>Q84/Q12</f>
        <v>6.6673627405096064E-3</v>
      </c>
      <c r="S84" s="134"/>
      <c r="T84" s="49">
        <f>S84/S12</f>
        <v>0</v>
      </c>
      <c r="U84" s="134">
        <v>1200</v>
      </c>
      <c r="V84" s="49">
        <f>U84/U12</f>
        <v>5.1739349602646541E-3</v>
      </c>
      <c r="W84" s="134"/>
      <c r="X84" s="49">
        <f>W84/W12</f>
        <v>0</v>
      </c>
      <c r="Y84" s="134">
        <v>1200</v>
      </c>
      <c r="Z84" s="168">
        <f>Y84/Y12</f>
        <v>5.5567949425971023E-3</v>
      </c>
      <c r="AA84" s="275">
        <f t="shared" si="21"/>
        <v>8819.9520000000011</v>
      </c>
      <c r="AB84" s="203">
        <f>AA84/AA12</f>
        <v>3.7378454510393747E-3</v>
      </c>
      <c r="AC84" s="196">
        <v>8819.9520000000011</v>
      </c>
      <c r="AD84" s="203">
        <f>AC84/AC12</f>
        <v>1.0953330547794318E-2</v>
      </c>
      <c r="AE84" s="75"/>
      <c r="AF84" s="158"/>
      <c r="AG84" s="75"/>
      <c r="AH84" s="196">
        <v>8819.9520000000011</v>
      </c>
      <c r="AI84" s="244">
        <f>AH84/AH12</f>
        <v>1.0953330547794318E-2</v>
      </c>
      <c r="AJ84" s="282">
        <f t="shared" si="20"/>
        <v>26459.856000000003</v>
      </c>
      <c r="AK84" s="1"/>
      <c r="AL84" s="53"/>
      <c r="AM84" s="53">
        <f t="shared" si="22"/>
        <v>56400</v>
      </c>
      <c r="AN84" s="53" t="e">
        <f>#REF!-AM84</f>
        <v>#REF!</v>
      </c>
      <c r="AO84" s="53"/>
    </row>
    <row r="85" spans="1:41">
      <c r="A85" s="2">
        <v>6215</v>
      </c>
      <c r="B85" s="108" t="s">
        <v>36</v>
      </c>
      <c r="C85" s="130">
        <v>281.30799999999999</v>
      </c>
      <c r="D85" s="49">
        <f>C85/C12</f>
        <v>1.1119288828456348E-3</v>
      </c>
      <c r="E85" s="130">
        <v>300</v>
      </c>
      <c r="F85" s="49">
        <f>E85/E12</f>
        <v>1.8105079311731827E-3</v>
      </c>
      <c r="G85" s="130">
        <v>300</v>
      </c>
      <c r="H85" s="49">
        <f>G85/G12</f>
        <v>1.5352483287202556E-3</v>
      </c>
      <c r="I85" s="130">
        <v>300</v>
      </c>
      <c r="J85" s="49">
        <f>I85/I12</f>
        <v>1.3976644096078252E-3</v>
      </c>
      <c r="K85" s="130">
        <v>300</v>
      </c>
      <c r="L85" s="49">
        <f>K85/K12</f>
        <v>1.5725798314960983E-3</v>
      </c>
      <c r="M85" s="130">
        <v>300</v>
      </c>
      <c r="N85" s="49">
        <f>M85/M12</f>
        <v>1.4804591273421062E-3</v>
      </c>
      <c r="O85" s="130">
        <v>300</v>
      </c>
      <c r="P85" s="49">
        <f>O85/O12</f>
        <v>1.5632668851892747E-3</v>
      </c>
      <c r="Q85" s="130">
        <v>300</v>
      </c>
      <c r="R85" s="49">
        <f>Q85/Q12</f>
        <v>1.6668406851274016E-3</v>
      </c>
      <c r="S85" s="130">
        <v>300</v>
      </c>
      <c r="T85" s="49">
        <f>S85/S12</f>
        <v>1.8453348381883602E-3</v>
      </c>
      <c r="U85" s="130">
        <v>300</v>
      </c>
      <c r="V85" s="49">
        <f>U85/U12</f>
        <v>1.2934837400661635E-3</v>
      </c>
      <c r="W85" s="130">
        <v>300</v>
      </c>
      <c r="X85" s="49">
        <f>W85/W12</f>
        <v>1.9337238974360415E-3</v>
      </c>
      <c r="Y85" s="130">
        <v>300</v>
      </c>
      <c r="Z85" s="168">
        <f>Y85/Y12</f>
        <v>1.3891987356492756E-3</v>
      </c>
      <c r="AA85" s="275">
        <f t="shared" si="21"/>
        <v>3581.308</v>
      </c>
      <c r="AB85" s="203">
        <f>AA85/AA12</f>
        <v>1.5177379442168075E-3</v>
      </c>
      <c r="AC85" s="194">
        <v>3581.308</v>
      </c>
      <c r="AD85" s="203">
        <f>AC85/AC12</f>
        <v>4.4475582539973196E-3</v>
      </c>
      <c r="AE85" s="75"/>
      <c r="AF85" s="158"/>
      <c r="AG85" s="75"/>
      <c r="AH85" s="194">
        <v>3581.308</v>
      </c>
      <c r="AI85" s="244">
        <f>AH85/AH12</f>
        <v>4.4475582539973196E-3</v>
      </c>
      <c r="AJ85" s="282">
        <f t="shared" si="20"/>
        <v>10743.923999999999</v>
      </c>
      <c r="AK85" s="1"/>
      <c r="AL85" s="53"/>
      <c r="AM85" s="53">
        <f t="shared" si="22"/>
        <v>28200</v>
      </c>
      <c r="AN85" s="53" t="e">
        <f>#REF!-AM85</f>
        <v>#REF!</v>
      </c>
      <c r="AO85" s="53"/>
    </row>
    <row r="86" spans="1:41">
      <c r="A86" s="2">
        <v>6216</v>
      </c>
      <c r="B86" s="108" t="s">
        <v>111</v>
      </c>
      <c r="C86" s="130">
        <v>0</v>
      </c>
      <c r="D86" s="49">
        <f>C86/C12</f>
        <v>0</v>
      </c>
      <c r="E86" s="80"/>
      <c r="F86" s="49">
        <f>E86/E12</f>
        <v>0</v>
      </c>
      <c r="G86" s="80">
        <v>0</v>
      </c>
      <c r="H86" s="49">
        <f>G86/G12</f>
        <v>0</v>
      </c>
      <c r="I86" s="130"/>
      <c r="J86" s="49">
        <f>I86/I12</f>
        <v>0</v>
      </c>
      <c r="K86" s="80">
        <v>0</v>
      </c>
      <c r="L86" s="49">
        <f>K86/K12</f>
        <v>0</v>
      </c>
      <c r="M86" s="130"/>
      <c r="N86" s="49">
        <f>M86/M12</f>
        <v>0</v>
      </c>
      <c r="O86" s="130"/>
      <c r="P86" s="49">
        <f>O86/O12</f>
        <v>0</v>
      </c>
      <c r="Q86" s="130"/>
      <c r="R86" s="49">
        <f>Q86/Q12</f>
        <v>0</v>
      </c>
      <c r="S86" s="130">
        <v>0</v>
      </c>
      <c r="T86" s="49">
        <f>S86/S12</f>
        <v>0</v>
      </c>
      <c r="U86" s="80"/>
      <c r="V86" s="49">
        <f>U86/U12</f>
        <v>0</v>
      </c>
      <c r="W86" s="80"/>
      <c r="X86" s="49">
        <f>W86/W12</f>
        <v>0</v>
      </c>
      <c r="Y86" s="80"/>
      <c r="Z86" s="168">
        <f>Y86/Y12</f>
        <v>0</v>
      </c>
      <c r="AA86" s="275">
        <f t="shared" si="21"/>
        <v>0</v>
      </c>
      <c r="AB86" s="203">
        <f>AA86/AA12</f>
        <v>0</v>
      </c>
      <c r="AC86" s="194">
        <v>0</v>
      </c>
      <c r="AD86" s="203">
        <f>AC86/AC12</f>
        <v>0</v>
      </c>
      <c r="AE86" s="75"/>
      <c r="AF86" s="158"/>
      <c r="AG86" s="75"/>
      <c r="AH86" s="194">
        <v>0</v>
      </c>
      <c r="AI86" s="244">
        <f>AH86/AH12</f>
        <v>0</v>
      </c>
      <c r="AJ86" s="282">
        <f t="shared" si="20"/>
        <v>0</v>
      </c>
      <c r="AK86" s="1"/>
      <c r="AL86" s="53"/>
      <c r="AM86" s="53">
        <f t="shared" si="22"/>
        <v>0</v>
      </c>
      <c r="AN86" s="53" t="e">
        <f>#REF!-AM86</f>
        <v>#REF!</v>
      </c>
      <c r="AO86" s="53"/>
    </row>
    <row r="87" spans="1:41" ht="15.75" thickBot="1">
      <c r="A87" s="4">
        <v>6299</v>
      </c>
      <c r="B87" s="109" t="s">
        <v>100</v>
      </c>
      <c r="C87" s="29">
        <f>SUM(C71:C86)</f>
        <v>14584.741999999998</v>
      </c>
      <c r="D87" s="66">
        <f>C87/C12</f>
        <v>5.7649252344945071E-2</v>
      </c>
      <c r="E87" s="58">
        <f>SUM(E71:E86)</f>
        <v>11425</v>
      </c>
      <c r="F87" s="66">
        <f>E87/E12</f>
        <v>6.895017704551204E-2</v>
      </c>
      <c r="G87" s="85">
        <f>SUM(G71:G86)</f>
        <v>12625</v>
      </c>
      <c r="H87" s="66">
        <f>G87/G12</f>
        <v>6.4608367166977418E-2</v>
      </c>
      <c r="I87" s="21">
        <f>SUM(I71:I86)</f>
        <v>11425</v>
      </c>
      <c r="J87" s="66">
        <f>I87/I12</f>
        <v>5.3227719599231345E-2</v>
      </c>
      <c r="K87" s="58">
        <f>SUM(K71:K86)</f>
        <v>11425</v>
      </c>
      <c r="L87" s="66">
        <f>K87/K12</f>
        <v>5.9889081916143075E-2</v>
      </c>
      <c r="M87" s="21">
        <f>SUM(M71:M86)</f>
        <v>12625</v>
      </c>
      <c r="N87" s="66">
        <f>M87/M12</f>
        <v>6.2302654942313636E-2</v>
      </c>
      <c r="O87" s="21">
        <f>SUM(O71:O86)</f>
        <v>11425</v>
      </c>
      <c r="P87" s="66">
        <f>O87/O12</f>
        <v>5.9534413877624884E-2</v>
      </c>
      <c r="Q87" s="21">
        <f>SUM(Q71:Q86)</f>
        <v>14625</v>
      </c>
      <c r="R87" s="66">
        <f>Q87/Q12</f>
        <v>8.1258483399960835E-2</v>
      </c>
      <c r="S87" s="21">
        <f>SUM(S71:S86)</f>
        <v>11425</v>
      </c>
      <c r="T87" s="66">
        <f>S87/S12</f>
        <v>7.0276501754340054E-2</v>
      </c>
      <c r="U87" s="58">
        <f>SUM(U71:U86)</f>
        <v>14625</v>
      </c>
      <c r="V87" s="66">
        <f>U87/U12</f>
        <v>6.3057332328225468E-2</v>
      </c>
      <c r="W87" s="40">
        <f>SUM(W71:W86)</f>
        <v>11425</v>
      </c>
      <c r="X87" s="66">
        <f>W87/W12</f>
        <v>7.3642651760689251E-2</v>
      </c>
      <c r="Y87" s="58">
        <f>SUM(Y71:Y86)</f>
        <v>12625</v>
      </c>
      <c r="Z87" s="213">
        <f>Y87/Y12</f>
        <v>5.8462113458573682E-2</v>
      </c>
      <c r="AA87" s="200">
        <f>SUM(AA71:AA86)</f>
        <v>150259.742</v>
      </c>
      <c r="AB87" s="234">
        <f>AA87/AA12</f>
        <v>6.3679223323329884E-2</v>
      </c>
      <c r="AC87" s="199">
        <f>SUM(AC71:AC86)</f>
        <v>150259.742</v>
      </c>
      <c r="AD87" s="234">
        <f>AC87/AC12</f>
        <v>0.18660471419258207</v>
      </c>
      <c r="AE87" s="75"/>
      <c r="AF87" s="237"/>
      <c r="AG87" s="75" t="s">
        <v>171</v>
      </c>
      <c r="AH87" s="199">
        <f>SUM(AH71:AH86)</f>
        <v>150259.742</v>
      </c>
      <c r="AI87" s="248">
        <f>AH87/AH12</f>
        <v>0.18660471419258207</v>
      </c>
      <c r="AJ87" s="286">
        <f t="shared" si="20"/>
        <v>450779.22600000002</v>
      </c>
      <c r="AK87" s="1"/>
      <c r="AL87" s="53"/>
      <c r="AM87" s="53">
        <f t="shared" si="22"/>
        <v>1167950</v>
      </c>
      <c r="AN87" s="53" t="e">
        <f>#REF!-AM87</f>
        <v>#REF!</v>
      </c>
      <c r="AO87" s="53"/>
    </row>
    <row r="88" spans="1:41" ht="15.75" thickTop="1">
      <c r="A88" s="98">
        <v>6301</v>
      </c>
      <c r="B88" s="111" t="s">
        <v>37</v>
      </c>
      <c r="C88" s="170"/>
      <c r="D88" s="171">
        <f>C88/C12</f>
        <v>0</v>
      </c>
      <c r="E88" s="179"/>
      <c r="F88" s="180">
        <f>E88/E12</f>
        <v>0</v>
      </c>
      <c r="G88" s="170"/>
      <c r="H88" s="171">
        <f>G88/G12</f>
        <v>0</v>
      </c>
      <c r="I88" s="181"/>
      <c r="J88" s="180">
        <f>I88/I12</f>
        <v>0</v>
      </c>
      <c r="K88" s="176"/>
      <c r="L88" s="171">
        <f>K88/K12</f>
        <v>0</v>
      </c>
      <c r="M88" s="181"/>
      <c r="N88" s="180">
        <f>M88/M12</f>
        <v>0</v>
      </c>
      <c r="O88" s="176"/>
      <c r="P88" s="171">
        <f>O88/O12</f>
        <v>0</v>
      </c>
      <c r="Q88" s="181"/>
      <c r="R88" s="180">
        <f>Q88/Q12</f>
        <v>0</v>
      </c>
      <c r="S88" s="176"/>
      <c r="T88" s="171">
        <f>S88/S12</f>
        <v>0</v>
      </c>
      <c r="U88" s="181"/>
      <c r="V88" s="180">
        <f>U88/U12</f>
        <v>0</v>
      </c>
      <c r="W88" s="176"/>
      <c r="X88" s="171">
        <f>W88/W12</f>
        <v>0</v>
      </c>
      <c r="Y88" s="181"/>
      <c r="Z88" s="180">
        <f>Y88/Y12</f>
        <v>0</v>
      </c>
      <c r="AA88" s="275">
        <f t="shared" ref="AA88:AA99" si="23">C88+E88+G88+I88+K88+M88+O88+Q88+S88+U88+W88+Y88</f>
        <v>0</v>
      </c>
      <c r="AB88" s="203">
        <f>AA88/AA12</f>
        <v>0</v>
      </c>
      <c r="AC88" s="198"/>
      <c r="AD88" s="203">
        <f>AC88/AC12</f>
        <v>0</v>
      </c>
      <c r="AE88" s="75"/>
      <c r="AF88" s="158"/>
      <c r="AG88" s="75"/>
      <c r="AH88" s="198"/>
      <c r="AI88" s="244">
        <f>AH88/AH12</f>
        <v>0</v>
      </c>
      <c r="AJ88" s="282">
        <f t="shared" si="20"/>
        <v>0</v>
      </c>
      <c r="AK88" s="1"/>
      <c r="AL88" s="53"/>
      <c r="AM88" s="53">
        <f t="shared" si="22"/>
        <v>0</v>
      </c>
      <c r="AN88" s="53" t="e">
        <f>#REF!-AM88</f>
        <v>#REF!</v>
      </c>
      <c r="AO88" s="53"/>
    </row>
    <row r="89" spans="1:41">
      <c r="A89" s="98">
        <v>6302</v>
      </c>
      <c r="B89" s="111" t="s">
        <v>38</v>
      </c>
      <c r="C89" s="172"/>
      <c r="D89" s="49">
        <f>C89/C12</f>
        <v>0</v>
      </c>
      <c r="E89" s="167"/>
      <c r="F89" s="168">
        <f>E89/E12</f>
        <v>0</v>
      </c>
      <c r="G89" s="172"/>
      <c r="H89" s="49">
        <f>G89/G12</f>
        <v>0</v>
      </c>
      <c r="I89" s="169"/>
      <c r="J89" s="168">
        <f>I89/I12</f>
        <v>0</v>
      </c>
      <c r="K89" s="177"/>
      <c r="L89" s="49">
        <f>K89/K12</f>
        <v>0</v>
      </c>
      <c r="M89" s="169"/>
      <c r="N89" s="168">
        <f>M89/M12</f>
        <v>0</v>
      </c>
      <c r="O89" s="177"/>
      <c r="P89" s="49">
        <f>O89/O12</f>
        <v>0</v>
      </c>
      <c r="Q89" s="169"/>
      <c r="R89" s="168">
        <f>Q89/Q12</f>
        <v>0</v>
      </c>
      <c r="S89" s="177"/>
      <c r="T89" s="49">
        <f>S89/S12</f>
        <v>0</v>
      </c>
      <c r="U89" s="169"/>
      <c r="V89" s="168">
        <f>U89/U12</f>
        <v>0</v>
      </c>
      <c r="W89" s="177"/>
      <c r="X89" s="49">
        <f>W89/W12</f>
        <v>0</v>
      </c>
      <c r="Y89" s="169"/>
      <c r="Z89" s="168">
        <f>Y89/Y12</f>
        <v>0</v>
      </c>
      <c r="AA89" s="275">
        <f t="shared" si="23"/>
        <v>0</v>
      </c>
      <c r="AB89" s="203">
        <f>AA89/AA12</f>
        <v>0</v>
      </c>
      <c r="AC89" s="198"/>
      <c r="AD89" s="203">
        <f>AC89/AC12</f>
        <v>0</v>
      </c>
      <c r="AE89" s="75"/>
      <c r="AF89" s="158"/>
      <c r="AG89" s="75"/>
      <c r="AH89" s="198"/>
      <c r="AI89" s="244">
        <f>AH89/AH12</f>
        <v>0</v>
      </c>
      <c r="AJ89" s="282">
        <f t="shared" si="20"/>
        <v>0</v>
      </c>
      <c r="AK89" s="1"/>
      <c r="AL89" s="53"/>
      <c r="AM89" s="53">
        <f t="shared" si="22"/>
        <v>0</v>
      </c>
      <c r="AN89" s="53" t="e">
        <f>#REF!-AM89</f>
        <v>#REF!</v>
      </c>
      <c r="AO89" s="53"/>
    </row>
    <row r="90" spans="1:41">
      <c r="A90" s="98">
        <v>6303</v>
      </c>
      <c r="B90" s="2" t="s">
        <v>112</v>
      </c>
      <c r="C90" s="172"/>
      <c r="D90" s="49">
        <f>C90/C12</f>
        <v>0</v>
      </c>
      <c r="E90" s="167"/>
      <c r="F90" s="168">
        <f>E90/E12</f>
        <v>0</v>
      </c>
      <c r="G90" s="172"/>
      <c r="H90" s="49">
        <f>G90/G12</f>
        <v>0</v>
      </c>
      <c r="I90" s="169"/>
      <c r="J90" s="168">
        <f>I90/I12</f>
        <v>0</v>
      </c>
      <c r="K90" s="177"/>
      <c r="L90" s="49">
        <f>K90/K12</f>
        <v>0</v>
      </c>
      <c r="M90" s="169"/>
      <c r="N90" s="168">
        <f>M90/M12</f>
        <v>0</v>
      </c>
      <c r="O90" s="177"/>
      <c r="P90" s="49">
        <f>O90/O12</f>
        <v>0</v>
      </c>
      <c r="Q90" s="169"/>
      <c r="R90" s="168">
        <f>Q90/Q12</f>
        <v>0</v>
      </c>
      <c r="S90" s="177"/>
      <c r="T90" s="49">
        <f>S90/S12</f>
        <v>0</v>
      </c>
      <c r="U90" s="169"/>
      <c r="V90" s="168">
        <f>U90/U12</f>
        <v>0</v>
      </c>
      <c r="W90" s="177"/>
      <c r="X90" s="49">
        <f>W90/W12</f>
        <v>0</v>
      </c>
      <c r="Y90" s="169"/>
      <c r="Z90" s="168">
        <f>Y90/Y12</f>
        <v>0</v>
      </c>
      <c r="AA90" s="275">
        <f t="shared" si="23"/>
        <v>0</v>
      </c>
      <c r="AB90" s="203">
        <f>AA90/AA12</f>
        <v>0</v>
      </c>
      <c r="AC90" s="198"/>
      <c r="AD90" s="203">
        <f>AC90/AC12</f>
        <v>0</v>
      </c>
      <c r="AE90" s="75"/>
      <c r="AF90" s="158"/>
      <c r="AG90" s="75"/>
      <c r="AH90" s="198"/>
      <c r="AI90" s="244">
        <f>AH90/AH12</f>
        <v>0</v>
      </c>
      <c r="AJ90" s="282">
        <f t="shared" si="20"/>
        <v>0</v>
      </c>
      <c r="AK90" s="1"/>
      <c r="AL90" s="53"/>
      <c r="AM90" s="53">
        <f t="shared" si="22"/>
        <v>0</v>
      </c>
      <c r="AN90" s="53" t="e">
        <f>#REF!-AM90</f>
        <v>#REF!</v>
      </c>
      <c r="AO90" s="53"/>
    </row>
    <row r="91" spans="1:41">
      <c r="A91" s="98">
        <v>6304</v>
      </c>
      <c r="B91" s="2" t="s">
        <v>39</v>
      </c>
      <c r="C91" s="172">
        <v>185.1</v>
      </c>
      <c r="D91" s="49">
        <f>C91/C12</f>
        <v>7.3164658031313367E-4</v>
      </c>
      <c r="E91" s="167">
        <f>((((100*3.5)+(30*57)+(1500*3))*1.1)+300)/9.4</f>
        <v>799.57446808510645</v>
      </c>
      <c r="F91" s="168">
        <f>E91/E12</f>
        <v>4.8254530534388796E-3</v>
      </c>
      <c r="G91" s="172">
        <f>((((30000*0.075)+(100*3.5)+(30*57)+(126*2)+(10*155)+(1500*3))*1.1)+300)/9.4</f>
        <v>1273.7446808510638</v>
      </c>
      <c r="H91" s="49">
        <f>G91/G12</f>
        <v>6.5183813083097035E-3</v>
      </c>
      <c r="I91" s="167">
        <f>((((30000*0.075)+(100*3.5)+(30*57)+(126*2)+(10*155)+(1500*3))*1.1)+300)/9.4</f>
        <v>1273.7446808510638</v>
      </c>
      <c r="J91" s="168">
        <f>I91/I12</f>
        <v>5.9342253578426995E-3</v>
      </c>
      <c r="K91" s="172">
        <f>((((30000*0.075)+(100*3.5)+(30*57))*1.1)+300)/9.4</f>
        <v>536.27659574468078</v>
      </c>
      <c r="L91" s="49">
        <f>K91/K12</f>
        <v>2.811125861904904E-3</v>
      </c>
      <c r="M91" s="167">
        <f>((((100*3.5)+(30*57)+(126*2)+(10*155)+(1500*3)))+300)/9.4</f>
        <v>921.48936170212767</v>
      </c>
      <c r="N91" s="168">
        <f>M91/M12</f>
        <v>4.5474244542685546E-3</v>
      </c>
      <c r="O91" s="172">
        <f>((((30000*0.075)+(100*3.5)+(30*57))*1.1)+300)/9.4</f>
        <v>536.27659574468078</v>
      </c>
      <c r="P91" s="49">
        <f>O91/O12</f>
        <v>2.79447814476565E-3</v>
      </c>
      <c r="Q91" s="167">
        <f>((((30000*0.075)+(100*3.5)+(30*57))*1.1)+300)/9.4</f>
        <v>536.27659574468078</v>
      </c>
      <c r="R91" s="168">
        <f>Q91/Q12</f>
        <v>2.9796254942295142E-3</v>
      </c>
      <c r="S91" s="172">
        <f>((((30000*0.075)+(100*3.5)+(30*57)+(126*2)+(10*155)+(1500*3))*1.1)+300)/9.4</f>
        <v>1273.7446808510638</v>
      </c>
      <c r="T91" s="49">
        <f>S91/S12</f>
        <v>7.8349514484386071E-3</v>
      </c>
      <c r="U91" s="167">
        <f>((((100*3.5)+(30*57)+(1500*3))*1.1)+300)/9.4</f>
        <v>799.57446808510645</v>
      </c>
      <c r="V91" s="168">
        <f>U91/U12</f>
        <v>3.4474552448004563E-3</v>
      </c>
      <c r="W91" s="172">
        <f>((((100*3.5)+(30*57)+(126*2)+(10*155)+(1500*3)))+300)/9.4</f>
        <v>921.48936170212767</v>
      </c>
      <c r="X91" s="49">
        <f>W91/W12</f>
        <v>5.9396866665216283E-3</v>
      </c>
      <c r="Y91" s="167">
        <f>((((30000*0.075)+(100*3.5)+(30*57))*1.1)+300)/9.4</f>
        <v>536.27659574468078</v>
      </c>
      <c r="Z91" s="168">
        <f>Y91/Y12</f>
        <v>2.4833158958893608E-3</v>
      </c>
      <c r="AA91" s="275">
        <f t="shared" si="23"/>
        <v>9593.5680851063844</v>
      </c>
      <c r="AB91" s="203">
        <f>AA91/AA12</f>
        <v>4.0656995441870226E-3</v>
      </c>
      <c r="AC91" s="198">
        <v>9593.5680851063844</v>
      </c>
      <c r="AD91" s="203">
        <f>AC91/AC12</f>
        <v>1.1914069642208982E-2</v>
      </c>
      <c r="AE91" s="75"/>
      <c r="AF91" s="158"/>
      <c r="AG91" s="75"/>
      <c r="AH91" s="198">
        <v>9593.5680851063844</v>
      </c>
      <c r="AI91" s="244">
        <f>AH91/AH12</f>
        <v>1.1914069642208982E-2</v>
      </c>
      <c r="AJ91" s="282">
        <f t="shared" si="20"/>
        <v>28780.704255319153</v>
      </c>
      <c r="AK91" s="1"/>
      <c r="AL91" s="53"/>
      <c r="AM91" s="53">
        <f t="shared" si="22"/>
        <v>80923.600000000006</v>
      </c>
      <c r="AN91" s="53" t="e">
        <f>#REF!-AM91</f>
        <v>#REF!</v>
      </c>
      <c r="AO91" s="53"/>
    </row>
    <row r="92" spans="1:41">
      <c r="A92" s="98">
        <v>6305</v>
      </c>
      <c r="B92" s="2" t="s">
        <v>40</v>
      </c>
      <c r="C92" s="172">
        <v>1517.6959999999999</v>
      </c>
      <c r="D92" s="49">
        <f>C92/C12</f>
        <v>5.9990118225549524E-3</v>
      </c>
      <c r="E92" s="167"/>
      <c r="F92" s="168">
        <f>E92/E12</f>
        <v>0</v>
      </c>
      <c r="G92" s="172"/>
      <c r="H92" s="49">
        <f>G92/G12</f>
        <v>0</v>
      </c>
      <c r="I92" s="169"/>
      <c r="J92" s="168">
        <f>I92/I12</f>
        <v>0</v>
      </c>
      <c r="K92" s="177"/>
      <c r="L92" s="49">
        <f>K92/K12</f>
        <v>0</v>
      </c>
      <c r="M92" s="167">
        <f>((61325*1.02)/7)/9.4</f>
        <v>950.63069908814578</v>
      </c>
      <c r="N92" s="168">
        <f>M92/M12</f>
        <v>4.6912329839888427E-3</v>
      </c>
      <c r="O92" s="177"/>
      <c r="P92" s="49">
        <f>O92/O12</f>
        <v>0</v>
      </c>
      <c r="Q92" s="169"/>
      <c r="R92" s="168">
        <f>Q92/Q12</f>
        <v>0</v>
      </c>
      <c r="S92" s="177"/>
      <c r="T92" s="49">
        <f>S92/S12</f>
        <v>0</v>
      </c>
      <c r="U92" s="169"/>
      <c r="V92" s="168">
        <f>U92/U12</f>
        <v>0</v>
      </c>
      <c r="W92" s="177"/>
      <c r="X92" s="49">
        <f>W92/W12</f>
        <v>0</v>
      </c>
      <c r="Y92" s="169"/>
      <c r="Z92" s="168">
        <f>Y92/Y12</f>
        <v>0</v>
      </c>
      <c r="AA92" s="275">
        <f t="shared" si="23"/>
        <v>2468.3266990881457</v>
      </c>
      <c r="AB92" s="203">
        <f>AA92/AA12</f>
        <v>1.0460628044081941E-3</v>
      </c>
      <c r="AC92" s="198">
        <v>2468.3266990881457</v>
      </c>
      <c r="AD92" s="203">
        <f>AC92/AC12</f>
        <v>3.0653679560907472E-3</v>
      </c>
      <c r="AE92" s="75"/>
      <c r="AF92" s="158"/>
      <c r="AG92" s="75"/>
      <c r="AH92" s="198">
        <v>2468.3266990881457</v>
      </c>
      <c r="AI92" s="244">
        <f>AH92/AH12</f>
        <v>3.0653679560907472E-3</v>
      </c>
      <c r="AJ92" s="282">
        <f t="shared" si="20"/>
        <v>7404.9800972644371</v>
      </c>
      <c r="AK92" s="1"/>
      <c r="AL92" s="53"/>
      <c r="AM92" s="53">
        <f t="shared" si="22"/>
        <v>8935.9285714285706</v>
      </c>
      <c r="AN92" s="53" t="e">
        <f>#REF!-AM92</f>
        <v>#REF!</v>
      </c>
      <c r="AO92" s="53"/>
    </row>
    <row r="93" spans="1:41">
      <c r="A93" s="98">
        <v>6306</v>
      </c>
      <c r="B93" s="2" t="s">
        <v>41</v>
      </c>
      <c r="C93" s="172"/>
      <c r="D93" s="49">
        <f>C93/C12</f>
        <v>0</v>
      </c>
      <c r="E93" s="167"/>
      <c r="F93" s="168">
        <f>E93/E12</f>
        <v>0</v>
      </c>
      <c r="G93" s="172"/>
      <c r="H93" s="49">
        <f>G93/G12</f>
        <v>0</v>
      </c>
      <c r="I93" s="169"/>
      <c r="J93" s="168">
        <f>I93/I12</f>
        <v>0</v>
      </c>
      <c r="K93" s="177"/>
      <c r="L93" s="49">
        <f>K93/K12</f>
        <v>0</v>
      </c>
      <c r="M93" s="169"/>
      <c r="N93" s="168">
        <f>M93/M12</f>
        <v>0</v>
      </c>
      <c r="O93" s="177"/>
      <c r="P93" s="49">
        <f>O93/O12</f>
        <v>0</v>
      </c>
      <c r="Q93" s="169"/>
      <c r="R93" s="168">
        <f>Q93/Q12</f>
        <v>0</v>
      </c>
      <c r="S93" s="177"/>
      <c r="T93" s="49">
        <f>S93/S12</f>
        <v>0</v>
      </c>
      <c r="U93" s="169"/>
      <c r="V93" s="168">
        <f>U93/U12</f>
        <v>0</v>
      </c>
      <c r="W93" s="177"/>
      <c r="X93" s="49">
        <f>W93/W12</f>
        <v>0</v>
      </c>
      <c r="Y93" s="169"/>
      <c r="Z93" s="168">
        <f>Y93/Y12</f>
        <v>0</v>
      </c>
      <c r="AA93" s="275">
        <f t="shared" si="23"/>
        <v>0</v>
      </c>
      <c r="AB93" s="203">
        <f>AA93/AA12</f>
        <v>0</v>
      </c>
      <c r="AC93" s="198">
        <v>0</v>
      </c>
      <c r="AD93" s="203">
        <f>AC93/AC12</f>
        <v>0</v>
      </c>
      <c r="AE93" s="75"/>
      <c r="AF93" s="158"/>
      <c r="AG93" s="75"/>
      <c r="AH93" s="198">
        <v>0</v>
      </c>
      <c r="AI93" s="244">
        <f>AH93/AH12</f>
        <v>0</v>
      </c>
      <c r="AJ93" s="282">
        <f t="shared" si="20"/>
        <v>0</v>
      </c>
      <c r="AK93" s="1"/>
      <c r="AL93" s="53"/>
      <c r="AM93" s="53">
        <f t="shared" si="22"/>
        <v>0</v>
      </c>
      <c r="AN93" s="53" t="e">
        <f>#REF!-AM93</f>
        <v>#REF!</v>
      </c>
      <c r="AO93" s="53"/>
    </row>
    <row r="94" spans="1:41">
      <c r="A94" s="2">
        <v>6308</v>
      </c>
      <c r="B94" s="2" t="s">
        <v>125</v>
      </c>
      <c r="C94" s="172"/>
      <c r="D94" s="49">
        <f>C94/C12</f>
        <v>0</v>
      </c>
      <c r="E94" s="167"/>
      <c r="F94" s="168">
        <f>E94/E12</f>
        <v>0</v>
      </c>
      <c r="G94" s="172"/>
      <c r="H94" s="49">
        <f>G94/G12</f>
        <v>0</v>
      </c>
      <c r="I94" s="169"/>
      <c r="J94" s="168">
        <f>I94/I12</f>
        <v>0</v>
      </c>
      <c r="K94" s="177"/>
      <c r="L94" s="49">
        <f>K94/K12</f>
        <v>0</v>
      </c>
      <c r="M94" s="169"/>
      <c r="N94" s="168">
        <f>M94/M12</f>
        <v>0</v>
      </c>
      <c r="O94" s="177"/>
      <c r="P94" s="49">
        <f>O94/O12</f>
        <v>0</v>
      </c>
      <c r="Q94" s="169"/>
      <c r="R94" s="168">
        <f>Q94/Q12</f>
        <v>0</v>
      </c>
      <c r="S94" s="177"/>
      <c r="T94" s="49">
        <f>S94/S12</f>
        <v>0</v>
      </c>
      <c r="U94" s="169"/>
      <c r="V94" s="168">
        <f>U94/U12</f>
        <v>0</v>
      </c>
      <c r="W94" s="177"/>
      <c r="X94" s="49">
        <f>W94/W12</f>
        <v>0</v>
      </c>
      <c r="Y94" s="169"/>
      <c r="Z94" s="168">
        <f>Y94/Y12</f>
        <v>0</v>
      </c>
      <c r="AA94" s="275">
        <f t="shared" si="23"/>
        <v>0</v>
      </c>
      <c r="AB94" s="203">
        <f>AA94/AA12</f>
        <v>0</v>
      </c>
      <c r="AC94" s="198">
        <v>0</v>
      </c>
      <c r="AD94" s="203">
        <f>AC94/AC12</f>
        <v>0</v>
      </c>
      <c r="AE94" s="75"/>
      <c r="AF94" s="158"/>
      <c r="AG94" s="75"/>
      <c r="AH94" s="198">
        <v>0</v>
      </c>
      <c r="AI94" s="244">
        <f>AH94/AH12</f>
        <v>0</v>
      </c>
      <c r="AJ94" s="282">
        <f t="shared" si="20"/>
        <v>0</v>
      </c>
      <c r="AK94" s="1"/>
      <c r="AL94" s="53"/>
      <c r="AM94" s="53">
        <f t="shared" si="22"/>
        <v>0</v>
      </c>
      <c r="AN94" s="53" t="e">
        <f>#REF!-AM94</f>
        <v>#REF!</v>
      </c>
      <c r="AO94" s="53"/>
    </row>
    <row r="95" spans="1:41">
      <c r="A95" s="2">
        <v>6309</v>
      </c>
      <c r="B95" s="2" t="s">
        <v>126</v>
      </c>
      <c r="C95" s="172">
        <v>290.125</v>
      </c>
      <c r="D95" s="49">
        <f>C95/C$12</f>
        <v>1.1467799249775684E-3</v>
      </c>
      <c r="E95" s="167">
        <f>((50000*0.055)/9.4)*2</f>
        <v>585.10638297872333</v>
      </c>
      <c r="F95" s="168">
        <f>E95/E12</f>
        <v>3.5311324898767743E-3</v>
      </c>
      <c r="G95" s="172">
        <f>((50000*0.055)/9.4)*2</f>
        <v>585.10638297872333</v>
      </c>
      <c r="H95" s="49">
        <f>G95/G12</f>
        <v>2.9942786553054626E-3</v>
      </c>
      <c r="I95" s="167">
        <f>(50000*0.055)/9.4</f>
        <v>292.55319148936167</v>
      </c>
      <c r="J95" s="168">
        <f>I95/I12</f>
        <v>1.3629706122062124E-3</v>
      </c>
      <c r="K95" s="172">
        <f>(50000*0.055)/9.4</f>
        <v>292.55319148936167</v>
      </c>
      <c r="L95" s="49">
        <f>K95/K12</f>
        <v>1.5335441619199538E-3</v>
      </c>
      <c r="M95" s="167">
        <f>(50000*0.055)/9.4</f>
        <v>292.55319148936167</v>
      </c>
      <c r="N95" s="168">
        <f>M95/M12</f>
        <v>1.4437101419116282E-3</v>
      </c>
      <c r="O95" s="172">
        <f>(50000*0.055)/9.4</f>
        <v>292.55319148936167</v>
      </c>
      <c r="P95" s="49">
        <f>O95/O12</f>
        <v>1.5244623880391862E-3</v>
      </c>
      <c r="Q95" s="167">
        <f>((50000*0.055)/9.4)*2</f>
        <v>585.10638297872333</v>
      </c>
      <c r="R95" s="168">
        <f>Q95/Q12</f>
        <v>3.2509304142555704E-3</v>
      </c>
      <c r="S95" s="172">
        <f>((50000*0.055)/9.4)*2</f>
        <v>585.10638297872333</v>
      </c>
      <c r="T95" s="49">
        <f>S95/S12</f>
        <v>3.5990573085233971E-3</v>
      </c>
      <c r="U95" s="167">
        <f>((50000*0.055)/9.4)*2</f>
        <v>585.10638297872333</v>
      </c>
      <c r="V95" s="168">
        <f>U95/U12</f>
        <v>2.5227519753063471E-3</v>
      </c>
      <c r="W95" s="172">
        <f>((50000*0.055)/9.4)*2</f>
        <v>585.10638297872333</v>
      </c>
      <c r="X95" s="49">
        <f>W95/W12</f>
        <v>3.7714473176944066E-3</v>
      </c>
      <c r="Y95" s="167">
        <f>(50000*0.055)/9.4</f>
        <v>292.55319148936167</v>
      </c>
      <c r="Z95" s="168">
        <f>Y95/Y12</f>
        <v>1.3547150790906054E-3</v>
      </c>
      <c r="AA95" s="275">
        <f t="shared" si="23"/>
        <v>5263.5292553191493</v>
      </c>
      <c r="AB95" s="203">
        <f>AA95/AA12</f>
        <v>2.2306537363703735E-3</v>
      </c>
      <c r="AC95" s="198">
        <v>5263.5292553191493</v>
      </c>
      <c r="AD95" s="203">
        <f>AC95/AC12</f>
        <v>6.5366768188190039E-3</v>
      </c>
      <c r="AE95" s="75"/>
      <c r="AF95" s="158"/>
      <c r="AG95" s="75"/>
      <c r="AH95" s="198">
        <v>5263.5292553191493</v>
      </c>
      <c r="AI95" s="244">
        <f>AH95/AH12</f>
        <v>6.5366768188190039E-3</v>
      </c>
      <c r="AJ95" s="282">
        <f t="shared" si="20"/>
        <v>15790.587765957447</v>
      </c>
      <c r="AK95" s="1"/>
      <c r="AL95" s="53"/>
      <c r="AM95" s="53">
        <f t="shared" si="22"/>
        <v>41249.999999999993</v>
      </c>
      <c r="AN95" s="53" t="e">
        <f>#REF!-AM95</f>
        <v>#REF!</v>
      </c>
      <c r="AO95" s="53"/>
    </row>
    <row r="96" spans="1:41">
      <c r="A96" s="2">
        <v>6310</v>
      </c>
      <c r="B96" s="2" t="s">
        <v>127</v>
      </c>
      <c r="C96" s="172"/>
      <c r="D96" s="49">
        <f>C96/C$12</f>
        <v>0</v>
      </c>
      <c r="E96" s="167">
        <v>250</v>
      </c>
      <c r="F96" s="168">
        <f>E96/E$12</f>
        <v>1.5087566093109856E-3</v>
      </c>
      <c r="G96" s="172">
        <v>250</v>
      </c>
      <c r="H96" s="49">
        <f>G96/G$12</f>
        <v>1.2793736072668797E-3</v>
      </c>
      <c r="I96" s="167">
        <v>250</v>
      </c>
      <c r="J96" s="168">
        <f>I96/I$12</f>
        <v>1.1647203413398543E-3</v>
      </c>
      <c r="K96" s="172">
        <v>250</v>
      </c>
      <c r="L96" s="49">
        <f>K96/K$12</f>
        <v>1.3104831929134152E-3</v>
      </c>
      <c r="M96" s="167"/>
      <c r="N96" s="168">
        <f>M96/M$12</f>
        <v>0</v>
      </c>
      <c r="O96" s="177">
        <v>250</v>
      </c>
      <c r="P96" s="49">
        <f>O96/O$12</f>
        <v>1.3027224043243957E-3</v>
      </c>
      <c r="Q96" s="169">
        <v>250</v>
      </c>
      <c r="R96" s="168">
        <f>Q96/Q$12</f>
        <v>1.3890339042728346E-3</v>
      </c>
      <c r="S96" s="177">
        <v>250</v>
      </c>
      <c r="T96" s="49">
        <f>S96/S$12</f>
        <v>1.5377790318236335E-3</v>
      </c>
      <c r="U96" s="169">
        <v>250</v>
      </c>
      <c r="V96" s="168">
        <f>U96/U$12</f>
        <v>1.0779031167218031E-3</v>
      </c>
      <c r="W96" s="177">
        <v>250</v>
      </c>
      <c r="X96" s="49">
        <f>W96/W$12</f>
        <v>1.6114365811967012E-3</v>
      </c>
      <c r="Y96" s="169">
        <v>250</v>
      </c>
      <c r="Z96" s="168">
        <f>Y96/Y$12</f>
        <v>1.157665613041063E-3</v>
      </c>
      <c r="AA96" s="275">
        <f t="shared" si="23"/>
        <v>2500</v>
      </c>
      <c r="AB96" s="203">
        <f>AA96/AA12</f>
        <v>1.0594857690380214E-3</v>
      </c>
      <c r="AC96" s="198">
        <v>2500</v>
      </c>
      <c r="AD96" s="203">
        <f>AC96/AC12</f>
        <v>3.10470242575989E-3</v>
      </c>
      <c r="AE96" s="75"/>
      <c r="AF96" s="158"/>
      <c r="AG96" s="75"/>
      <c r="AH96" s="198">
        <v>2500</v>
      </c>
      <c r="AI96" s="244">
        <f>AH96/AH12</f>
        <v>3.10470242575989E-3</v>
      </c>
      <c r="AJ96" s="282">
        <f t="shared" si="20"/>
        <v>7500</v>
      </c>
      <c r="AK96" s="1"/>
      <c r="AL96" s="53"/>
      <c r="AM96" s="53">
        <f t="shared" si="22"/>
        <v>21150</v>
      </c>
      <c r="AN96" s="53" t="e">
        <f>#REF!-AM96</f>
        <v>#REF!</v>
      </c>
      <c r="AO96" s="53"/>
    </row>
    <row r="97" spans="1:41">
      <c r="A97" s="2">
        <v>6311</v>
      </c>
      <c r="B97" s="2" t="s">
        <v>128</v>
      </c>
      <c r="C97" s="172"/>
      <c r="D97" s="49">
        <f>C97/C12</f>
        <v>0</v>
      </c>
      <c r="E97" s="167">
        <f>((((130*3.5)+(70*57))*1.1)+300)/9.4</f>
        <v>552.07446808510633</v>
      </c>
      <c r="F97" s="168">
        <f>E97/E12</f>
        <v>3.3317840102210037E-3</v>
      </c>
      <c r="G97" s="172">
        <f>((((180*3.5)+(170*57))*1.1)+300)/9.4</f>
        <v>1239.5744680851064</v>
      </c>
      <c r="H97" s="49">
        <f>G97/G12</f>
        <v>6.3435154348398647E-3</v>
      </c>
      <c r="I97" s="169"/>
      <c r="J97" s="168">
        <f>I97/I12</f>
        <v>0</v>
      </c>
      <c r="K97" s="172">
        <f>((((100*3.5)+(110*57))*1.1)+300)/9.4</f>
        <v>806.59574468085111</v>
      </c>
      <c r="L97" s="49">
        <f>K97/K12</f>
        <v>4.2281206675189422E-3</v>
      </c>
      <c r="M97" s="169"/>
      <c r="N97" s="168">
        <f>M97/M12</f>
        <v>0</v>
      </c>
      <c r="O97" s="177"/>
      <c r="P97" s="49">
        <f>O97/O12</f>
        <v>0</v>
      </c>
      <c r="Q97" s="167">
        <f>((((180*3.5)+(170*57))*1.1)+300)/9.4</f>
        <v>1239.5744680851064</v>
      </c>
      <c r="R97" s="168">
        <f>Q97/Q12</f>
        <v>6.8872438521647107E-3</v>
      </c>
      <c r="S97" s="177"/>
      <c r="T97" s="49">
        <f>S97/S12</f>
        <v>0</v>
      </c>
      <c r="U97" s="167">
        <f>((((100*3.5)+(110*57))*1.1)+300)/9.4</f>
        <v>806.59574468085111</v>
      </c>
      <c r="V97" s="168">
        <f>U97/U12</f>
        <v>3.4777282685041324E-3</v>
      </c>
      <c r="W97" s="177"/>
      <c r="X97" s="49">
        <f>W97/W12</f>
        <v>0</v>
      </c>
      <c r="Y97" s="169"/>
      <c r="Z97" s="168">
        <f>Y97/Y12</f>
        <v>0</v>
      </c>
      <c r="AA97" s="275">
        <f t="shared" si="23"/>
        <v>4644.4148936170222</v>
      </c>
      <c r="AB97" s="203">
        <f>AA97/AA12</f>
        <v>1.9682765941181888E-3</v>
      </c>
      <c r="AC97" s="198">
        <v>4644.4148936170222</v>
      </c>
      <c r="AD97" s="203">
        <f>AC97/AC12</f>
        <v>5.7678104745792517E-3</v>
      </c>
      <c r="AE97" s="75"/>
      <c r="AF97" s="158"/>
      <c r="AG97" s="75"/>
      <c r="AH97" s="198">
        <v>4644.4148936170222</v>
      </c>
      <c r="AI97" s="244">
        <f>AH97/AH12</f>
        <v>5.7678104745792517E-3</v>
      </c>
      <c r="AJ97" s="282">
        <f t="shared" si="20"/>
        <v>13933.244680851067</v>
      </c>
      <c r="AK97" s="1"/>
      <c r="AL97" s="53"/>
      <c r="AM97" s="53">
        <f t="shared" si="22"/>
        <v>38468.000000000007</v>
      </c>
      <c r="AN97" s="53" t="e">
        <f>#REF!-AM97</f>
        <v>#REF!</v>
      </c>
      <c r="AO97" s="53"/>
    </row>
    <row r="98" spans="1:41">
      <c r="A98" s="2">
        <v>6312</v>
      </c>
      <c r="B98" s="2" t="s">
        <v>129</v>
      </c>
      <c r="C98" s="173"/>
      <c r="D98" s="49">
        <f>C98/C12</f>
        <v>0</v>
      </c>
      <c r="E98" s="157">
        <f>3888+1360</f>
        <v>5248</v>
      </c>
      <c r="F98" s="168">
        <f>E98/E12</f>
        <v>3.1671818742656205E-2</v>
      </c>
      <c r="G98" s="173">
        <f>3888+1360</f>
        <v>5248</v>
      </c>
      <c r="H98" s="49">
        <f>G98/G12</f>
        <v>2.6856610763746337E-2</v>
      </c>
      <c r="I98" s="157">
        <f>3888+1360</f>
        <v>5248</v>
      </c>
      <c r="J98" s="168">
        <f>I98/I12</f>
        <v>2.4449809405406222E-2</v>
      </c>
      <c r="K98" s="173">
        <f>3888+1360</f>
        <v>5248</v>
      </c>
      <c r="L98" s="49">
        <f>K98/K12</f>
        <v>2.7509663185638411E-2</v>
      </c>
      <c r="M98" s="157">
        <f>3888+1360</f>
        <v>5248</v>
      </c>
      <c r="N98" s="168">
        <f>M98/M12</f>
        <v>2.5898165000971245E-2</v>
      </c>
      <c r="O98" s="173"/>
      <c r="P98" s="49">
        <f>O98/O12</f>
        <v>0</v>
      </c>
      <c r="Q98" s="157">
        <f>3888+1360</f>
        <v>5248</v>
      </c>
      <c r="R98" s="168">
        <f>Q98/Q12</f>
        <v>2.9158599718495347E-2</v>
      </c>
      <c r="S98" s="173">
        <f>3888+1360</f>
        <v>5248</v>
      </c>
      <c r="T98" s="49">
        <f>S98/S12</f>
        <v>3.2281057436041712E-2</v>
      </c>
      <c r="U98" s="157"/>
      <c r="V98" s="168">
        <f>U98/U12</f>
        <v>0</v>
      </c>
      <c r="W98" s="173">
        <f>3888+1360</f>
        <v>5248</v>
      </c>
      <c r="X98" s="49">
        <f>W98/W12</f>
        <v>3.3827276712481154E-2</v>
      </c>
      <c r="Y98" s="157">
        <f>3888+1360</f>
        <v>5248</v>
      </c>
      <c r="Z98" s="168">
        <f>Y98/Y12</f>
        <v>2.4301716548957995E-2</v>
      </c>
      <c r="AA98" s="275">
        <f t="shared" si="23"/>
        <v>47232</v>
      </c>
      <c r="AB98" s="203">
        <f>AA98/AA12</f>
        <v>2.0016652737281534E-2</v>
      </c>
      <c r="AC98" s="198">
        <v>12000</v>
      </c>
      <c r="AD98" s="203">
        <f>AC98/AC12</f>
        <v>1.490257164364747E-2</v>
      </c>
      <c r="AE98" s="75"/>
      <c r="AF98" s="158"/>
      <c r="AG98" s="75"/>
      <c r="AH98" s="198">
        <v>12000</v>
      </c>
      <c r="AI98" s="244">
        <f>AH98/AH12</f>
        <v>1.490257164364747E-2</v>
      </c>
      <c r="AJ98" s="282">
        <f t="shared" si="20"/>
        <v>71232</v>
      </c>
      <c r="AK98" s="1"/>
      <c r="AL98" s="53"/>
      <c r="AM98" s="53">
        <f t="shared" si="22"/>
        <v>394649.60000000003</v>
      </c>
      <c r="AN98" s="53" t="e">
        <f>#REF!-AM98</f>
        <v>#REF!</v>
      </c>
      <c r="AO98" s="53"/>
    </row>
    <row r="99" spans="1:41">
      <c r="A99" s="2">
        <v>6313</v>
      </c>
      <c r="B99" s="2" t="s">
        <v>130</v>
      </c>
      <c r="C99" s="174"/>
      <c r="D99" s="175">
        <f>C99/C12</f>
        <v>0</v>
      </c>
      <c r="E99" s="182"/>
      <c r="F99" s="183">
        <f>E99/E12</f>
        <v>0</v>
      </c>
      <c r="G99" s="174"/>
      <c r="H99" s="175">
        <f>G99/G12</f>
        <v>0</v>
      </c>
      <c r="I99" s="184"/>
      <c r="J99" s="183">
        <f>I99/I12</f>
        <v>0</v>
      </c>
      <c r="K99" s="178"/>
      <c r="L99" s="175">
        <f>K99/K12</f>
        <v>0</v>
      </c>
      <c r="M99" s="184"/>
      <c r="N99" s="183">
        <f>M99/M12</f>
        <v>0</v>
      </c>
      <c r="O99" s="178"/>
      <c r="P99" s="175">
        <f>O99/O12</f>
        <v>0</v>
      </c>
      <c r="Q99" s="184"/>
      <c r="R99" s="183">
        <f>Q99/Q12</f>
        <v>0</v>
      </c>
      <c r="S99" s="178"/>
      <c r="T99" s="175">
        <f>S99/S12</f>
        <v>0</v>
      </c>
      <c r="U99" s="184"/>
      <c r="V99" s="183">
        <f>U99/U12</f>
        <v>0</v>
      </c>
      <c r="W99" s="178"/>
      <c r="X99" s="175">
        <f>W99/W12</f>
        <v>0</v>
      </c>
      <c r="Y99" s="184"/>
      <c r="Z99" s="183">
        <f>Y99/Y12</f>
        <v>0</v>
      </c>
      <c r="AA99" s="275">
        <f t="shared" si="23"/>
        <v>0</v>
      </c>
      <c r="AB99" s="203">
        <f>AA99/AA12</f>
        <v>0</v>
      </c>
      <c r="AC99" s="198">
        <v>0</v>
      </c>
      <c r="AD99" s="203">
        <f>AC99/AC12</f>
        <v>0</v>
      </c>
      <c r="AE99" s="75"/>
      <c r="AF99" s="158"/>
      <c r="AG99" s="75"/>
      <c r="AH99" s="198">
        <v>0</v>
      </c>
      <c r="AI99" s="244">
        <f>AH99/AH12</f>
        <v>0</v>
      </c>
      <c r="AJ99" s="282">
        <f t="shared" si="20"/>
        <v>0</v>
      </c>
      <c r="AK99" s="1"/>
      <c r="AL99" s="53"/>
      <c r="AM99" s="53">
        <f t="shared" si="22"/>
        <v>0</v>
      </c>
      <c r="AN99" s="53" t="e">
        <f>#REF!-AM99</f>
        <v>#REF!</v>
      </c>
      <c r="AO99" s="53"/>
    </row>
    <row r="100" spans="1:41" ht="15.75" thickBot="1">
      <c r="A100" s="4">
        <v>6399</v>
      </c>
      <c r="B100" s="109" t="s">
        <v>101</v>
      </c>
      <c r="C100" s="161">
        <f>SUM(C88:C99)</f>
        <v>1992.9209999999998</v>
      </c>
      <c r="D100" s="162">
        <f>C100/C12</f>
        <v>7.8774383278456539E-3</v>
      </c>
      <c r="E100" s="163">
        <f>SUM(E88:E99)</f>
        <v>7434.755319148936</v>
      </c>
      <c r="F100" s="162">
        <f>E100/E12</f>
        <v>4.4868944905503853E-2</v>
      </c>
      <c r="G100" s="164">
        <f>SUM(G88:G99)</f>
        <v>8596.4255319148942</v>
      </c>
      <c r="H100" s="162">
        <f>G100/G12</f>
        <v>4.3992159769468249E-2</v>
      </c>
      <c r="I100" s="165">
        <f>SUM(I88:I99)</f>
        <v>7064.2978723404249</v>
      </c>
      <c r="J100" s="162">
        <f>I100/I12</f>
        <v>3.2911725716794987E-2</v>
      </c>
      <c r="K100" s="163">
        <f>SUM(K88:K99)</f>
        <v>7133.4255319148933</v>
      </c>
      <c r="L100" s="162">
        <f>K100/K12</f>
        <v>3.7392937069895625E-2</v>
      </c>
      <c r="M100" s="165">
        <f>SUM(M88:M99)</f>
        <v>7412.6732522796356</v>
      </c>
      <c r="N100" s="162">
        <f>M100/M12</f>
        <v>3.6580532581140274E-2</v>
      </c>
      <c r="O100" s="165">
        <f>SUM(O88:O99)</f>
        <v>1078.8297872340424</v>
      </c>
      <c r="P100" s="162">
        <f>O100/O12</f>
        <v>5.6216629371292322E-3</v>
      </c>
      <c r="Q100" s="165">
        <f>SUM(Q88:Q99)</f>
        <v>7858.9574468085102</v>
      </c>
      <c r="R100" s="162">
        <f>Q100/Q12</f>
        <v>4.3665433383417974E-2</v>
      </c>
      <c r="S100" s="165">
        <f>SUM(S88:S99)</f>
        <v>7356.8510638297867</v>
      </c>
      <c r="T100" s="162">
        <f>S100/S12</f>
        <v>4.5252845224827351E-2</v>
      </c>
      <c r="U100" s="163">
        <f>SUM(U88:U99)</f>
        <v>2441.2765957446809</v>
      </c>
      <c r="V100" s="162">
        <f>U100/U12</f>
        <v>1.0525838605332738E-2</v>
      </c>
      <c r="W100" s="166">
        <f>SUM(W88:W99)</f>
        <v>7004.5957446808516</v>
      </c>
      <c r="X100" s="162">
        <f>W100/W12</f>
        <v>4.5149847277893895E-2</v>
      </c>
      <c r="Y100" s="163">
        <f>SUM(Y88:Y99)</f>
        <v>6326.8297872340427</v>
      </c>
      <c r="Z100" s="216">
        <f>Y100/Y12</f>
        <v>2.9297413136979027E-2</v>
      </c>
      <c r="AA100" s="200">
        <f>SUM(AA88:AA99)</f>
        <v>71701.838933130697</v>
      </c>
      <c r="AB100" s="234">
        <f>AA100/AA12</f>
        <v>3.0386831185403331E-2</v>
      </c>
      <c r="AC100" s="199">
        <f>SUM(AC88:AC99)</f>
        <v>36469.838933130704</v>
      </c>
      <c r="AD100" s="234">
        <f>AC100/AC12</f>
        <v>4.5291198961105346E-2</v>
      </c>
      <c r="AE100" s="75"/>
      <c r="AF100" s="158"/>
      <c r="AG100" s="75"/>
      <c r="AH100" s="199">
        <f>SUM(AH88:AH99)</f>
        <v>36469.838933130704</v>
      </c>
      <c r="AI100" s="248">
        <f>AH100/AH12</f>
        <v>4.5291198961105346E-2</v>
      </c>
      <c r="AJ100" s="286">
        <f t="shared" si="20"/>
        <v>144641.51679939209</v>
      </c>
      <c r="AK100" s="1"/>
      <c r="AL100" s="53"/>
      <c r="AM100" s="53">
        <f t="shared" si="22"/>
        <v>585377.12857142859</v>
      </c>
      <c r="AN100" s="53" t="e">
        <f>#REF!-AM100</f>
        <v>#REF!</v>
      </c>
      <c r="AO100" s="53"/>
    </row>
    <row r="101" spans="1:41" ht="15.75" thickTop="1">
      <c r="A101" s="16">
        <v>6401</v>
      </c>
      <c r="B101" s="107" t="s">
        <v>89</v>
      </c>
      <c r="C101" s="130"/>
      <c r="D101" s="49">
        <f>C101/C12</f>
        <v>0</v>
      </c>
      <c r="E101" s="61"/>
      <c r="F101" s="49">
        <f>E101/E12</f>
        <v>0</v>
      </c>
      <c r="G101" s="80"/>
      <c r="H101" s="49">
        <f>G101/G12</f>
        <v>0</v>
      </c>
      <c r="J101" s="49">
        <f>I101/I12</f>
        <v>0</v>
      </c>
      <c r="K101" s="61"/>
      <c r="L101" s="49">
        <f>K101/K12</f>
        <v>0</v>
      </c>
      <c r="N101" s="49">
        <f>M101/M12</f>
        <v>0</v>
      </c>
      <c r="P101" s="49">
        <f>O101/O12</f>
        <v>0</v>
      </c>
      <c r="R101" s="49">
        <f>Q101/Q12</f>
        <v>0</v>
      </c>
      <c r="T101" s="49">
        <f>S101/S12</f>
        <v>0</v>
      </c>
      <c r="U101" s="61"/>
      <c r="V101" s="49">
        <f>U101/U12</f>
        <v>0</v>
      </c>
      <c r="W101" s="42"/>
      <c r="X101" s="49">
        <f>W101/W12</f>
        <v>0</v>
      </c>
      <c r="Y101" s="61"/>
      <c r="Z101" s="168">
        <f>Y101/Y12</f>
        <v>0</v>
      </c>
      <c r="AA101" s="275">
        <f t="shared" ref="AA101:AA112" si="24">C101+E101+G101+I101+K101+M101+O101+Q101+S101+U101+W101+Y101</f>
        <v>0</v>
      </c>
      <c r="AB101" s="203">
        <f>AA101/AA12</f>
        <v>0</v>
      </c>
      <c r="AC101" s="194"/>
      <c r="AD101" s="203">
        <f>AC101/AC12</f>
        <v>0</v>
      </c>
      <c r="AE101" s="75"/>
      <c r="AF101" s="158"/>
      <c r="AG101" s="75"/>
      <c r="AH101" s="194"/>
      <c r="AI101" s="244">
        <f>AH101/AH12</f>
        <v>0</v>
      </c>
      <c r="AJ101" s="282">
        <f t="shared" si="20"/>
        <v>0</v>
      </c>
      <c r="AK101" s="1"/>
      <c r="AL101" s="53"/>
      <c r="AM101" s="53">
        <f t="shared" si="22"/>
        <v>0</v>
      </c>
      <c r="AN101" s="53" t="e">
        <f>#REF!-AM101</f>
        <v>#REF!</v>
      </c>
      <c r="AO101" s="53"/>
    </row>
    <row r="102" spans="1:41">
      <c r="A102" s="98">
        <v>6402</v>
      </c>
      <c r="B102" s="2" t="s">
        <v>75</v>
      </c>
      <c r="C102" s="23">
        <f>0.267+0.002</f>
        <v>0.26900000000000002</v>
      </c>
      <c r="D102" s="49">
        <f>C102/C12</f>
        <v>1.0632789308710587E-6</v>
      </c>
      <c r="E102" s="23">
        <v>100</v>
      </c>
      <c r="F102" s="49">
        <f>E102/E12</f>
        <v>6.0350264372439422E-4</v>
      </c>
      <c r="G102" s="23">
        <v>100</v>
      </c>
      <c r="H102" s="49">
        <f>G102/G12</f>
        <v>5.1174944290675189E-4</v>
      </c>
      <c r="I102" s="23">
        <v>100</v>
      </c>
      <c r="J102" s="49">
        <f>I102/I12</f>
        <v>4.6588813653594175E-4</v>
      </c>
      <c r="K102" s="23">
        <v>100</v>
      </c>
      <c r="L102" s="49">
        <f>K102/K12</f>
        <v>5.2419327716536602E-4</v>
      </c>
      <c r="M102" s="23">
        <v>100</v>
      </c>
      <c r="N102" s="49">
        <f>M102/M12</f>
        <v>4.9348637578070214E-4</v>
      </c>
      <c r="O102" s="23">
        <v>100</v>
      </c>
      <c r="P102" s="49">
        <f>O102/O12</f>
        <v>5.2108896172975829E-4</v>
      </c>
      <c r="Q102" s="23">
        <v>100</v>
      </c>
      <c r="R102" s="49">
        <f>Q102/Q12</f>
        <v>5.556135617091339E-4</v>
      </c>
      <c r="S102" s="23">
        <v>100</v>
      </c>
      <c r="T102" s="49">
        <f>S102/S12</f>
        <v>6.1511161272945344E-4</v>
      </c>
      <c r="U102" s="23">
        <v>100</v>
      </c>
      <c r="V102" s="49">
        <f>U102/U12</f>
        <v>4.3116124668872121E-4</v>
      </c>
      <c r="W102" s="23">
        <v>100</v>
      </c>
      <c r="X102" s="49">
        <f>W102/W12</f>
        <v>6.4457463247868051E-4</v>
      </c>
      <c r="Y102" s="23">
        <v>100</v>
      </c>
      <c r="Z102" s="168">
        <f>Y102/Y12</f>
        <v>4.6306624521642522E-4</v>
      </c>
      <c r="AA102" s="275">
        <f t="shared" si="24"/>
        <v>1100.269</v>
      </c>
      <c r="AB102" s="203">
        <f>AA102/AA12</f>
        <v>4.6628773904547794E-4</v>
      </c>
      <c r="AC102" s="196">
        <v>1100.269</v>
      </c>
      <c r="AD102" s="203">
        <f>AC102/AC12</f>
        <v>1.3664031333153633E-3</v>
      </c>
      <c r="AE102" s="159"/>
      <c r="AF102" s="227"/>
      <c r="AG102" s="75"/>
      <c r="AH102" s="196">
        <v>1100.269</v>
      </c>
      <c r="AI102" s="244">
        <f>AH102/AH12</f>
        <v>1.3664031333153633E-3</v>
      </c>
      <c r="AJ102" s="282">
        <f t="shared" si="20"/>
        <v>3300.8069999999998</v>
      </c>
      <c r="AK102" s="1"/>
      <c r="AL102" s="53"/>
      <c r="AM102" s="53">
        <f t="shared" si="22"/>
        <v>9400</v>
      </c>
      <c r="AN102" s="53" t="e">
        <f>#REF!-AM102</f>
        <v>#REF!</v>
      </c>
      <c r="AO102" s="53"/>
    </row>
    <row r="103" spans="1:41">
      <c r="A103" s="98">
        <v>6404</v>
      </c>
      <c r="B103" s="2" t="s">
        <v>91</v>
      </c>
      <c r="C103" s="23"/>
      <c r="D103" s="49">
        <f>C103/C12</f>
        <v>0</v>
      </c>
      <c r="E103" s="23"/>
      <c r="F103" s="49">
        <f>E103/E12</f>
        <v>0</v>
      </c>
      <c r="G103" s="23"/>
      <c r="H103" s="49">
        <f>G103/G12</f>
        <v>0</v>
      </c>
      <c r="I103" s="23"/>
      <c r="J103" s="49">
        <f>I103/I12</f>
        <v>0</v>
      </c>
      <c r="K103" s="23"/>
      <c r="L103" s="49">
        <f>K103/K12</f>
        <v>0</v>
      </c>
      <c r="M103" s="23"/>
      <c r="N103" s="49">
        <f>M103/M12</f>
        <v>0</v>
      </c>
      <c r="O103" s="23"/>
      <c r="P103" s="49">
        <f>O103/O12</f>
        <v>0</v>
      </c>
      <c r="Q103" s="23"/>
      <c r="R103" s="49">
        <f>Q103/Q12</f>
        <v>0</v>
      </c>
      <c r="S103" s="23"/>
      <c r="T103" s="49">
        <f>S103/S12</f>
        <v>0</v>
      </c>
      <c r="U103" s="23"/>
      <c r="V103" s="49">
        <f>U103/U12</f>
        <v>0</v>
      </c>
      <c r="W103" s="23"/>
      <c r="X103" s="49">
        <f>W103/W12</f>
        <v>0</v>
      </c>
      <c r="Y103" s="23"/>
      <c r="Z103" s="168">
        <f>Y103/Y12</f>
        <v>0</v>
      </c>
      <c r="AA103" s="275">
        <f t="shared" si="24"/>
        <v>0</v>
      </c>
      <c r="AB103" s="203">
        <f>AA103/AA12</f>
        <v>0</v>
      </c>
      <c r="AC103" s="196">
        <v>0</v>
      </c>
      <c r="AD103" s="203">
        <f>AC103/AC12</f>
        <v>0</v>
      </c>
      <c r="AE103" s="159"/>
      <c r="AF103" s="227"/>
      <c r="AG103" s="75"/>
      <c r="AH103" s="196">
        <v>0</v>
      </c>
      <c r="AI103" s="244">
        <f>AH103/AH12</f>
        <v>0</v>
      </c>
      <c r="AJ103" s="282">
        <f t="shared" si="20"/>
        <v>0</v>
      </c>
      <c r="AK103" s="1"/>
      <c r="AL103" s="53"/>
      <c r="AM103" s="53">
        <f t="shared" si="22"/>
        <v>0</v>
      </c>
      <c r="AN103" s="53" t="e">
        <f>#REF!-AM103</f>
        <v>#REF!</v>
      </c>
      <c r="AO103" s="53"/>
    </row>
    <row r="104" spans="1:41">
      <c r="A104" s="98">
        <v>6406</v>
      </c>
      <c r="B104" s="2" t="s">
        <v>73</v>
      </c>
      <c r="C104" s="18">
        <v>-23.681000000000001</v>
      </c>
      <c r="D104" s="49">
        <f>C104/C12</f>
        <v>-9.360412030467488E-5</v>
      </c>
      <c r="E104" s="18">
        <v>75</v>
      </c>
      <c r="F104" s="49">
        <f>E104/E12</f>
        <v>4.5262698279329567E-4</v>
      </c>
      <c r="G104" s="18">
        <v>75</v>
      </c>
      <c r="H104" s="49">
        <f>G104/G12</f>
        <v>3.8381208218006389E-4</v>
      </c>
      <c r="I104" s="18">
        <v>75</v>
      </c>
      <c r="J104" s="49">
        <f>I104/I12</f>
        <v>3.4941610240195629E-4</v>
      </c>
      <c r="K104" s="18">
        <v>75</v>
      </c>
      <c r="L104" s="49">
        <f>K104/K12</f>
        <v>3.9314495787402457E-4</v>
      </c>
      <c r="M104" s="18">
        <v>75</v>
      </c>
      <c r="N104" s="49">
        <f>M104/M12</f>
        <v>3.7011478183552655E-4</v>
      </c>
      <c r="O104" s="18">
        <v>75</v>
      </c>
      <c r="P104" s="49">
        <f>O104/O12</f>
        <v>3.9081672129731869E-4</v>
      </c>
      <c r="Q104" s="18">
        <v>75</v>
      </c>
      <c r="R104" s="49">
        <f>Q104/Q12</f>
        <v>4.167101712818504E-4</v>
      </c>
      <c r="S104" s="18">
        <v>75</v>
      </c>
      <c r="T104" s="49">
        <f>S104/S12</f>
        <v>4.6133370954709005E-4</v>
      </c>
      <c r="U104" s="18">
        <v>75</v>
      </c>
      <c r="V104" s="49">
        <f>U104/U12</f>
        <v>3.2337093501654088E-4</v>
      </c>
      <c r="W104" s="18">
        <v>75</v>
      </c>
      <c r="X104" s="49">
        <f>W104/W12</f>
        <v>4.8343097435901038E-4</v>
      </c>
      <c r="Y104" s="18">
        <v>75</v>
      </c>
      <c r="Z104" s="168">
        <f>Y104/Y12</f>
        <v>3.4729968391231889E-4</v>
      </c>
      <c r="AA104" s="275">
        <f t="shared" si="24"/>
        <v>801.31899999999996</v>
      </c>
      <c r="AB104" s="203">
        <f>AA104/AA12</f>
        <v>3.3959443078391134E-4</v>
      </c>
      <c r="AC104" s="194">
        <v>0</v>
      </c>
      <c r="AD104" s="203">
        <f>AC104/AC12</f>
        <v>0</v>
      </c>
      <c r="AE104" s="159"/>
      <c r="AF104" s="227"/>
      <c r="AG104" s="75"/>
      <c r="AH104" s="194">
        <v>0</v>
      </c>
      <c r="AI104" s="244">
        <f>AH104/AH12</f>
        <v>0</v>
      </c>
      <c r="AJ104" s="282">
        <f t="shared" si="20"/>
        <v>801.31899999999996</v>
      </c>
      <c r="AK104" s="1"/>
      <c r="AL104" s="53"/>
      <c r="AM104" s="53">
        <f t="shared" si="22"/>
        <v>7050</v>
      </c>
      <c r="AN104" s="53" t="e">
        <f>#REF!-AM104</f>
        <v>#REF!</v>
      </c>
      <c r="AO104" s="53"/>
    </row>
    <row r="105" spans="1:41">
      <c r="A105" s="2">
        <v>6407</v>
      </c>
      <c r="B105" s="108" t="s">
        <v>74</v>
      </c>
      <c r="C105" s="130">
        <v>-0.7</v>
      </c>
      <c r="D105" s="49">
        <f>C105/C12</f>
        <v>-2.7668968461328664E-6</v>
      </c>
      <c r="E105" s="43"/>
      <c r="F105" s="49">
        <f>E105/E12</f>
        <v>0</v>
      </c>
      <c r="G105" s="80"/>
      <c r="H105" s="49">
        <f>G105/G12</f>
        <v>0</v>
      </c>
      <c r="I105" s="18"/>
      <c r="J105" s="49">
        <f>I105/I12</f>
        <v>0</v>
      </c>
      <c r="K105" s="43"/>
      <c r="L105" s="49">
        <f>K105/K12</f>
        <v>0</v>
      </c>
      <c r="M105" s="18"/>
      <c r="N105" s="49">
        <f>M105/M12</f>
        <v>0</v>
      </c>
      <c r="O105" s="18"/>
      <c r="P105" s="49">
        <f>O105/O12</f>
        <v>0</v>
      </c>
      <c r="Q105" s="18"/>
      <c r="R105" s="49">
        <f>Q105/Q12</f>
        <v>0</v>
      </c>
      <c r="S105" s="18"/>
      <c r="T105" s="49">
        <f>S105/S12</f>
        <v>0</v>
      </c>
      <c r="U105" s="43"/>
      <c r="V105" s="49">
        <f>U105/U12</f>
        <v>0</v>
      </c>
      <c r="W105" s="33"/>
      <c r="X105" s="49">
        <f>W105/W12</f>
        <v>0</v>
      </c>
      <c r="Y105" s="43"/>
      <c r="Z105" s="168">
        <f>Y105/Y12</f>
        <v>0</v>
      </c>
      <c r="AA105" s="275">
        <f t="shared" si="24"/>
        <v>-0.7</v>
      </c>
      <c r="AB105" s="203">
        <f>AA105/AA12</f>
        <v>-2.9665601533064599E-7</v>
      </c>
      <c r="AC105" s="194">
        <v>0</v>
      </c>
      <c r="AD105" s="203">
        <f>AC105/AC12</f>
        <v>0</v>
      </c>
      <c r="AE105" s="159"/>
      <c r="AF105" s="227"/>
      <c r="AG105" s="75"/>
      <c r="AH105" s="194">
        <v>0</v>
      </c>
      <c r="AI105" s="244">
        <f>AH105/AH12</f>
        <v>0</v>
      </c>
      <c r="AJ105" s="282">
        <f t="shared" si="20"/>
        <v>-0.7</v>
      </c>
      <c r="AK105" s="1"/>
      <c r="AL105" s="53"/>
      <c r="AM105" s="53">
        <f t="shared" si="22"/>
        <v>0</v>
      </c>
      <c r="AN105" s="53" t="e">
        <f>#REF!-AM105</f>
        <v>#REF!</v>
      </c>
      <c r="AO105" s="53"/>
    </row>
    <row r="106" spans="1:41">
      <c r="A106" s="2">
        <v>6408</v>
      </c>
      <c r="B106" s="108" t="s">
        <v>43</v>
      </c>
      <c r="C106" s="130"/>
      <c r="D106" s="49">
        <f>C106/C12</f>
        <v>0</v>
      </c>
      <c r="E106" s="43"/>
      <c r="F106" s="49">
        <f>E106/E12</f>
        <v>0</v>
      </c>
      <c r="G106" s="80"/>
      <c r="H106" s="49">
        <f>G106/G12</f>
        <v>0</v>
      </c>
      <c r="I106" s="18"/>
      <c r="J106" s="49">
        <f>I106/I12</f>
        <v>0</v>
      </c>
      <c r="K106" s="43"/>
      <c r="L106" s="49">
        <f>K106/K12</f>
        <v>0</v>
      </c>
      <c r="M106" s="18"/>
      <c r="N106" s="49">
        <f>M106/M12</f>
        <v>0</v>
      </c>
      <c r="O106" s="18"/>
      <c r="P106" s="49">
        <f>O106/O12</f>
        <v>0</v>
      </c>
      <c r="Q106" s="18"/>
      <c r="R106" s="49">
        <f>Q106/Q12</f>
        <v>0</v>
      </c>
      <c r="S106" s="18"/>
      <c r="T106" s="49">
        <f>S106/S12</f>
        <v>0</v>
      </c>
      <c r="U106" s="43"/>
      <c r="V106" s="49">
        <f>U106/U12</f>
        <v>0</v>
      </c>
      <c r="W106" s="33"/>
      <c r="X106" s="49">
        <f>W106/W12</f>
        <v>0</v>
      </c>
      <c r="Y106" s="43"/>
      <c r="Z106" s="168">
        <f>Y106/Y12</f>
        <v>0</v>
      </c>
      <c r="AA106" s="275">
        <f t="shared" si="24"/>
        <v>0</v>
      </c>
      <c r="AB106" s="203">
        <f>AA106/AA12</f>
        <v>0</v>
      </c>
      <c r="AC106" s="194">
        <v>0</v>
      </c>
      <c r="AD106" s="203">
        <f>AC106/AC12</f>
        <v>0</v>
      </c>
      <c r="AE106" s="159"/>
      <c r="AF106" s="227"/>
      <c r="AG106" s="75"/>
      <c r="AH106" s="194">
        <v>0</v>
      </c>
      <c r="AI106" s="244">
        <f>AH106/AH12</f>
        <v>0</v>
      </c>
      <c r="AJ106" s="282">
        <f t="shared" si="20"/>
        <v>0</v>
      </c>
      <c r="AK106" s="1"/>
      <c r="AL106" s="53"/>
      <c r="AM106" s="53">
        <f t="shared" si="22"/>
        <v>0</v>
      </c>
      <c r="AN106" s="53" t="e">
        <f>#REF!-AM106</f>
        <v>#REF!</v>
      </c>
      <c r="AO106" s="53"/>
    </row>
    <row r="107" spans="1:41">
      <c r="A107" s="2">
        <v>6410</v>
      </c>
      <c r="B107" s="108" t="s">
        <v>105</v>
      </c>
      <c r="C107" s="130"/>
      <c r="D107" s="49"/>
      <c r="E107" s="43"/>
      <c r="F107" s="49"/>
      <c r="G107" s="80"/>
      <c r="H107" s="49"/>
      <c r="I107" s="18"/>
      <c r="J107" s="49"/>
      <c r="K107" s="43"/>
      <c r="L107" s="49"/>
      <c r="M107" s="18"/>
      <c r="N107" s="49"/>
      <c r="O107" s="18"/>
      <c r="P107" s="49"/>
      <c r="Q107" s="18"/>
      <c r="R107" s="49"/>
      <c r="S107" s="18"/>
      <c r="T107" s="49"/>
      <c r="U107" s="43"/>
      <c r="V107" s="49"/>
      <c r="W107" s="33"/>
      <c r="X107" s="49"/>
      <c r="Y107" s="43"/>
      <c r="Z107" s="168"/>
      <c r="AA107" s="275">
        <f t="shared" si="24"/>
        <v>0</v>
      </c>
      <c r="AB107" s="203"/>
      <c r="AC107" s="194">
        <v>0</v>
      </c>
      <c r="AD107" s="203"/>
      <c r="AE107" s="159"/>
      <c r="AF107" s="227"/>
      <c r="AG107" s="75"/>
      <c r="AH107" s="194">
        <v>0</v>
      </c>
      <c r="AI107" s="244"/>
      <c r="AJ107" s="282">
        <f t="shared" si="20"/>
        <v>0</v>
      </c>
      <c r="AK107" s="1"/>
      <c r="AL107" s="53"/>
      <c r="AM107" s="53">
        <f t="shared" si="22"/>
        <v>0</v>
      </c>
      <c r="AN107" s="53" t="e">
        <f>#REF!-AM107</f>
        <v>#REF!</v>
      </c>
      <c r="AO107" s="53"/>
    </row>
    <row r="108" spans="1:41">
      <c r="A108" s="2">
        <v>6411</v>
      </c>
      <c r="B108" s="108" t="s">
        <v>107</v>
      </c>
      <c r="C108" s="130"/>
      <c r="D108" s="49"/>
      <c r="E108" s="43"/>
      <c r="F108" s="49"/>
      <c r="G108" s="80"/>
      <c r="H108" s="49"/>
      <c r="I108" s="18"/>
      <c r="J108" s="49"/>
      <c r="K108" s="43"/>
      <c r="L108" s="49"/>
      <c r="M108" s="18"/>
      <c r="N108" s="49"/>
      <c r="O108" s="18"/>
      <c r="P108" s="49"/>
      <c r="Q108" s="18"/>
      <c r="R108" s="49"/>
      <c r="S108" s="18"/>
      <c r="T108" s="49"/>
      <c r="U108" s="43"/>
      <c r="V108" s="49"/>
      <c r="W108" s="33"/>
      <c r="X108" s="49"/>
      <c r="Y108" s="43"/>
      <c r="Z108" s="168"/>
      <c r="AA108" s="275">
        <f t="shared" si="24"/>
        <v>0</v>
      </c>
      <c r="AB108" s="203"/>
      <c r="AC108" s="194">
        <v>0</v>
      </c>
      <c r="AD108" s="203"/>
      <c r="AE108" s="159"/>
      <c r="AF108" s="227"/>
      <c r="AG108" s="75"/>
      <c r="AH108" s="194">
        <v>0</v>
      </c>
      <c r="AI108" s="244"/>
      <c r="AJ108" s="282">
        <f t="shared" si="20"/>
        <v>0</v>
      </c>
      <c r="AK108" s="1"/>
      <c r="AL108" s="53"/>
      <c r="AM108" s="53">
        <f t="shared" si="22"/>
        <v>0</v>
      </c>
      <c r="AN108" s="53" t="e">
        <f>#REF!-AM108</f>
        <v>#REF!</v>
      </c>
      <c r="AO108" s="53"/>
    </row>
    <row r="109" spans="1:41">
      <c r="A109" s="2">
        <v>6412</v>
      </c>
      <c r="B109" s="108" t="s">
        <v>92</v>
      </c>
      <c r="C109" s="130"/>
      <c r="D109" s="49">
        <f>C109/C12</f>
        <v>0</v>
      </c>
      <c r="E109" s="43"/>
      <c r="F109" s="49">
        <f>E109/E12</f>
        <v>0</v>
      </c>
      <c r="G109" s="80"/>
      <c r="H109" s="49">
        <f>G109/G12</f>
        <v>0</v>
      </c>
      <c r="I109" s="18"/>
      <c r="J109" s="49">
        <f>I109/I12</f>
        <v>0</v>
      </c>
      <c r="K109" s="43"/>
      <c r="L109" s="49">
        <f>K109/K12</f>
        <v>0</v>
      </c>
      <c r="M109" s="18"/>
      <c r="N109" s="49">
        <f>M109/M12</f>
        <v>0</v>
      </c>
      <c r="O109" s="18">
        <v>0</v>
      </c>
      <c r="P109" s="49">
        <f>O109/O12</f>
        <v>0</v>
      </c>
      <c r="Q109" s="18"/>
      <c r="R109" s="49">
        <f>Q109/Q12</f>
        <v>0</v>
      </c>
      <c r="S109" s="18"/>
      <c r="T109" s="49">
        <f>S109/S12</f>
        <v>0</v>
      </c>
      <c r="U109" s="43">
        <v>0</v>
      </c>
      <c r="V109" s="49">
        <f>U109/U12</f>
        <v>0</v>
      </c>
      <c r="W109" s="33"/>
      <c r="X109" s="49">
        <f>W109/W12</f>
        <v>0</v>
      </c>
      <c r="Y109" s="43"/>
      <c r="Z109" s="168">
        <f>Y109/Y12</f>
        <v>0</v>
      </c>
      <c r="AA109" s="275">
        <f t="shared" si="24"/>
        <v>0</v>
      </c>
      <c r="AB109" s="203">
        <f>AA109/AA12</f>
        <v>0</v>
      </c>
      <c r="AC109" s="194">
        <v>0</v>
      </c>
      <c r="AD109" s="203">
        <f>AC109/AC12</f>
        <v>0</v>
      </c>
      <c r="AE109" s="159"/>
      <c r="AF109" s="227"/>
      <c r="AG109" s="75"/>
      <c r="AH109" s="194">
        <v>0</v>
      </c>
      <c r="AI109" s="244">
        <f>AH109/AH12</f>
        <v>0</v>
      </c>
      <c r="AJ109" s="282">
        <f t="shared" si="20"/>
        <v>0</v>
      </c>
      <c r="AK109" s="1"/>
      <c r="AL109" s="53"/>
      <c r="AM109" s="53">
        <f t="shared" si="22"/>
        <v>0</v>
      </c>
      <c r="AN109" s="53" t="e">
        <f>#REF!-AM109</f>
        <v>#REF!</v>
      </c>
      <c r="AO109" s="53"/>
    </row>
    <row r="110" spans="1:41">
      <c r="A110" s="2">
        <v>6413</v>
      </c>
      <c r="B110" s="2" t="s">
        <v>42</v>
      </c>
      <c r="C110" s="18">
        <v>2525.2550000000001</v>
      </c>
      <c r="D110" s="49">
        <f>C110/C12</f>
        <v>9.9816001359732173E-3</v>
      </c>
      <c r="E110" s="18">
        <f>E5*1%</f>
        <v>1673.7308785714285</v>
      </c>
      <c r="F110" s="49">
        <f>E110/E12</f>
        <v>1.0101010101010102E-2</v>
      </c>
      <c r="G110" s="18">
        <f>G5*1%</f>
        <v>1973.8194620469085</v>
      </c>
      <c r="H110" s="49">
        <f>G110/G12</f>
        <v>1.01010101010101E-2</v>
      </c>
      <c r="I110" s="18">
        <f>I5*1%</f>
        <v>2168.1191918976542</v>
      </c>
      <c r="J110" s="49">
        <f>I110/I12</f>
        <v>1.01010101010101E-2</v>
      </c>
      <c r="K110" s="18">
        <f>K5*1%</f>
        <v>1926.962923987207</v>
      </c>
      <c r="L110" s="49">
        <f>K110/K12</f>
        <v>1.0101010101010102E-2</v>
      </c>
      <c r="M110" s="18">
        <f>M5*1%</f>
        <v>2046.867065991471</v>
      </c>
      <c r="N110" s="49">
        <f>M110/M12</f>
        <v>1.0101010101010102E-2</v>
      </c>
      <c r="O110" s="18">
        <f>O5*1%</f>
        <v>2132.2867930703624</v>
      </c>
      <c r="P110" s="49">
        <f>O110/O12</f>
        <v>1.111111111111111E-2</v>
      </c>
      <c r="Q110" s="18">
        <f>Q5*1%</f>
        <v>1817.9919996801707</v>
      </c>
      <c r="R110" s="49">
        <f>Q110/Q12</f>
        <v>1.0101010101010102E-2</v>
      </c>
      <c r="S110" s="18">
        <f>S5*1%</f>
        <v>1642.1426440298505</v>
      </c>
      <c r="T110" s="49">
        <f>S110/S12</f>
        <v>1.01010101010101E-2</v>
      </c>
      <c r="U110" s="18">
        <f>U5*1%</f>
        <v>2342.7453600213221</v>
      </c>
      <c r="V110" s="49">
        <f>U110/U12</f>
        <v>1.0101010101010102E-2</v>
      </c>
      <c r="W110" s="18">
        <f>W5*1%</f>
        <v>1567.0815437100212</v>
      </c>
      <c r="X110" s="49">
        <f>W110/W12</f>
        <v>1.0101010101010102E-2</v>
      </c>
      <c r="Y110" s="18">
        <f>Y5*1%</f>
        <v>2397.260842217484</v>
      </c>
      <c r="Z110" s="168">
        <f>Y110/Y12</f>
        <v>1.1100905770100155E-2</v>
      </c>
      <c r="AA110" s="275">
        <f t="shared" si="24"/>
        <v>24214.263705223882</v>
      </c>
      <c r="AB110" s="203">
        <f>AA110/AA12</f>
        <v>1.0261867121367431E-2</v>
      </c>
      <c r="AC110" s="194">
        <v>12000</v>
      </c>
      <c r="AD110" s="203">
        <f>AC110/AC12</f>
        <v>1.490257164364747E-2</v>
      </c>
      <c r="AE110" s="159"/>
      <c r="AF110" s="238"/>
      <c r="AG110" s="160"/>
      <c r="AH110" s="194">
        <v>12000</v>
      </c>
      <c r="AI110" s="244">
        <f>AH110/AH12</f>
        <v>1.490257164364747E-2</v>
      </c>
      <c r="AJ110" s="282">
        <f t="shared" si="20"/>
        <v>48214.263705223886</v>
      </c>
      <c r="AK110" s="1"/>
      <c r="AL110" s="53"/>
      <c r="AM110" s="53">
        <f t="shared" si="22"/>
        <v>188143.61157053304</v>
      </c>
      <c r="AN110" s="53" t="e">
        <f>#REF!-AM110</f>
        <v>#REF!</v>
      </c>
      <c r="AO110" s="53"/>
    </row>
    <row r="111" spans="1:41">
      <c r="A111" s="2">
        <v>6414</v>
      </c>
      <c r="B111" s="2" t="s">
        <v>44</v>
      </c>
      <c r="C111" s="18">
        <v>15</v>
      </c>
      <c r="D111" s="49">
        <f>C111/C12</f>
        <v>5.929064670284714E-5</v>
      </c>
      <c r="E111" s="18"/>
      <c r="F111" s="49">
        <f>E111/E12</f>
        <v>0</v>
      </c>
      <c r="G111" s="18"/>
      <c r="H111" s="49">
        <f>G111/G12</f>
        <v>0</v>
      </c>
      <c r="I111" s="18"/>
      <c r="J111" s="49">
        <f>I111/I12</f>
        <v>0</v>
      </c>
      <c r="K111" s="18"/>
      <c r="L111" s="49">
        <f>K111/K12</f>
        <v>0</v>
      </c>
      <c r="M111" s="18"/>
      <c r="N111" s="49">
        <f>M111/M12</f>
        <v>0</v>
      </c>
      <c r="O111" s="18"/>
      <c r="P111" s="49">
        <f>O111/O12</f>
        <v>0</v>
      </c>
      <c r="Q111" s="18"/>
      <c r="R111" s="49">
        <f>Q111/Q12</f>
        <v>0</v>
      </c>
      <c r="S111" s="18"/>
      <c r="T111" s="49">
        <f>S111/S12</f>
        <v>0</v>
      </c>
      <c r="U111" s="18"/>
      <c r="V111" s="49">
        <f>U111/U12</f>
        <v>0</v>
      </c>
      <c r="W111" s="18"/>
      <c r="X111" s="49">
        <f>W111/W12</f>
        <v>0</v>
      </c>
      <c r="Y111" s="18"/>
      <c r="Z111" s="168">
        <f>Y111/Y12</f>
        <v>0</v>
      </c>
      <c r="AA111" s="275">
        <f t="shared" si="24"/>
        <v>15</v>
      </c>
      <c r="AB111" s="203">
        <f>AA111/AA12</f>
        <v>6.3569146142281288E-6</v>
      </c>
      <c r="AC111" s="194">
        <v>15</v>
      </c>
      <c r="AD111" s="203">
        <f>AC111/AC12</f>
        <v>1.8628214554559339E-5</v>
      </c>
      <c r="AE111" s="159"/>
      <c r="AF111" s="227"/>
      <c r="AG111" s="75"/>
      <c r="AH111" s="194">
        <v>15</v>
      </c>
      <c r="AI111" s="244">
        <f>AH111/AH12</f>
        <v>1.8628214554559339E-5</v>
      </c>
      <c r="AJ111" s="282">
        <f t="shared" si="20"/>
        <v>45</v>
      </c>
      <c r="AK111" s="1"/>
      <c r="AL111" s="53"/>
      <c r="AM111" s="53">
        <f t="shared" si="22"/>
        <v>0</v>
      </c>
      <c r="AN111" s="53" t="e">
        <f>#REF!-AM111</f>
        <v>#REF!</v>
      </c>
      <c r="AO111" s="53"/>
    </row>
    <row r="112" spans="1:41">
      <c r="A112" s="2">
        <v>6415</v>
      </c>
      <c r="B112" s="108" t="s">
        <v>45</v>
      </c>
      <c r="C112" s="130">
        <v>60</v>
      </c>
      <c r="D112" s="49">
        <f>C112/C12</f>
        <v>2.3716258681138856E-4</v>
      </c>
      <c r="E112" s="130">
        <v>100</v>
      </c>
      <c r="F112" s="49">
        <f>E112/E12</f>
        <v>6.0350264372439422E-4</v>
      </c>
      <c r="G112" s="130">
        <v>100</v>
      </c>
      <c r="H112" s="49">
        <f>G112/G12</f>
        <v>5.1174944290675189E-4</v>
      </c>
      <c r="I112" s="130">
        <v>100</v>
      </c>
      <c r="J112" s="49">
        <f>I112/I12</f>
        <v>4.6588813653594175E-4</v>
      </c>
      <c r="K112" s="130">
        <v>100</v>
      </c>
      <c r="L112" s="49">
        <f>K112/K12</f>
        <v>5.2419327716536602E-4</v>
      </c>
      <c r="M112" s="130">
        <v>100</v>
      </c>
      <c r="N112" s="49">
        <f>M112/M12</f>
        <v>4.9348637578070214E-4</v>
      </c>
      <c r="O112" s="130">
        <v>100</v>
      </c>
      <c r="P112" s="49">
        <f>O112/O12</f>
        <v>5.2108896172975829E-4</v>
      </c>
      <c r="Q112" s="130">
        <v>100</v>
      </c>
      <c r="R112" s="49">
        <f>Q112/Q12</f>
        <v>5.556135617091339E-4</v>
      </c>
      <c r="S112" s="130">
        <v>100</v>
      </c>
      <c r="T112" s="49">
        <f>S112/S12</f>
        <v>6.1511161272945344E-4</v>
      </c>
      <c r="U112" s="130">
        <v>100</v>
      </c>
      <c r="V112" s="49">
        <f>U112/U12</f>
        <v>4.3116124668872121E-4</v>
      </c>
      <c r="W112" s="130">
        <v>100</v>
      </c>
      <c r="X112" s="49">
        <f>W112/W12</f>
        <v>6.4457463247868051E-4</v>
      </c>
      <c r="Y112" s="130">
        <v>100</v>
      </c>
      <c r="Z112" s="168">
        <f>Y112/Y12</f>
        <v>4.6306624521642522E-4</v>
      </c>
      <c r="AA112" s="275">
        <f t="shared" si="24"/>
        <v>1160</v>
      </c>
      <c r="AB112" s="203">
        <f>AA112/AA12</f>
        <v>4.9160139683364194E-4</v>
      </c>
      <c r="AC112" s="194">
        <v>1160</v>
      </c>
      <c r="AD112" s="203">
        <f>AC112/AC12</f>
        <v>1.4405819255525888E-3</v>
      </c>
      <c r="AE112" s="159"/>
      <c r="AF112" s="227"/>
      <c r="AG112" s="159"/>
      <c r="AH112" s="194">
        <v>1160</v>
      </c>
      <c r="AI112" s="244">
        <f>AH112/AH12</f>
        <v>1.4405819255525888E-3</v>
      </c>
      <c r="AJ112" s="282">
        <f t="shared" si="20"/>
        <v>3480</v>
      </c>
      <c r="AK112" s="1"/>
      <c r="AL112" s="53"/>
      <c r="AM112" s="53">
        <f t="shared" si="22"/>
        <v>9400</v>
      </c>
      <c r="AN112" s="53" t="e">
        <f>#REF!-AM112</f>
        <v>#REF!</v>
      </c>
      <c r="AO112" s="53"/>
    </row>
    <row r="113" spans="1:41" ht="15.75" thickBot="1">
      <c r="A113" s="4">
        <v>6499</v>
      </c>
      <c r="B113" s="109" t="s">
        <v>102</v>
      </c>
      <c r="C113" s="27">
        <f>SUM(C101:C112)</f>
        <v>2576.143</v>
      </c>
      <c r="D113" s="68">
        <f>C113/C12</f>
        <v>1.0182745631267516E-2</v>
      </c>
      <c r="E113" s="55">
        <f>SUM(E101:E112)</f>
        <v>1948.7308785714285</v>
      </c>
      <c r="F113" s="68">
        <f>E113/E12</f>
        <v>1.1760642371252185E-2</v>
      </c>
      <c r="G113" s="82">
        <f>SUM(G101:G112)</f>
        <v>2248.8194620469085</v>
      </c>
      <c r="H113" s="68">
        <f>G113/G12</f>
        <v>1.1508321069003669E-2</v>
      </c>
      <c r="I113" s="20">
        <f>SUM(I101:I112)</f>
        <v>2443.1191918976542</v>
      </c>
      <c r="J113" s="68">
        <f>I113/I12</f>
        <v>1.138220247648394E-2</v>
      </c>
      <c r="K113" s="55">
        <f>SUM(K101:K112)</f>
        <v>2201.962923987207</v>
      </c>
      <c r="L113" s="68">
        <f>K113/K12</f>
        <v>1.1542541613214859E-2</v>
      </c>
      <c r="M113" s="20">
        <f>SUM(M101:M112)</f>
        <v>2321.867065991471</v>
      </c>
      <c r="N113" s="68">
        <f>M113/M12</f>
        <v>1.1458097634407033E-2</v>
      </c>
      <c r="O113" s="20">
        <f>SUM(O101:O112)</f>
        <v>2407.2867930703624</v>
      </c>
      <c r="P113" s="68">
        <f>O113/O12</f>
        <v>1.2544105755867946E-2</v>
      </c>
      <c r="Q113" s="20">
        <f>SUM(Q101:Q112)</f>
        <v>2092.9919996801709</v>
      </c>
      <c r="R113" s="68">
        <f>Q113/Q12</f>
        <v>1.1628947395710222E-2</v>
      </c>
      <c r="S113" s="20">
        <f>SUM(S101:S112)</f>
        <v>1917.1426440298505</v>
      </c>
      <c r="T113" s="68">
        <f>S113/S12</f>
        <v>1.1792567036016097E-2</v>
      </c>
      <c r="U113" s="55">
        <f>SUM(U101:U112)</f>
        <v>2617.7453600213221</v>
      </c>
      <c r="V113" s="68">
        <f>U113/U12</f>
        <v>1.1286703529404085E-2</v>
      </c>
      <c r="W113" s="34">
        <f>SUM(W101:W112)</f>
        <v>1842.0815437100212</v>
      </c>
      <c r="X113" s="68">
        <f>W113/W12</f>
        <v>1.1873590340326473E-2</v>
      </c>
      <c r="Y113" s="55">
        <f>SUM(Y101:Y112)</f>
        <v>2672.260842217484</v>
      </c>
      <c r="Z113" s="212">
        <f>Y113/Y12</f>
        <v>1.2374337944445325E-2</v>
      </c>
      <c r="AA113" s="200">
        <f>SUM(AA101:AA112)</f>
        <v>27290.151705223881</v>
      </c>
      <c r="AB113" s="234">
        <f>AA113/AA12</f>
        <v>1.1565410946629358E-2</v>
      </c>
      <c r="AC113" s="199">
        <f>SUM(AC101:AC112)</f>
        <v>14275.269</v>
      </c>
      <c r="AD113" s="234">
        <f>AC113/AC12</f>
        <v>1.7728184917069983E-2</v>
      </c>
      <c r="AE113" s="75"/>
      <c r="AF113" s="158"/>
      <c r="AG113" s="75"/>
      <c r="AH113" s="199">
        <f>SUM(AH101:AH112)</f>
        <v>14275.269</v>
      </c>
      <c r="AI113" s="248">
        <f>AH113/AH12</f>
        <v>1.7728184917069983E-2</v>
      </c>
      <c r="AJ113" s="286">
        <f t="shared" si="20"/>
        <v>55840.689705223878</v>
      </c>
      <c r="AK113" s="1"/>
      <c r="AL113" s="53"/>
      <c r="AM113" s="53">
        <f t="shared" si="22"/>
        <v>213993.61157053304</v>
      </c>
      <c r="AN113" s="53" t="e">
        <f>#REF!-AM113</f>
        <v>#REF!</v>
      </c>
      <c r="AO113" s="53"/>
    </row>
    <row r="114" spans="1:41" ht="15.75" thickTop="1">
      <c r="A114" s="105"/>
      <c r="B114" s="110"/>
      <c r="C114" s="130"/>
      <c r="D114" s="70"/>
      <c r="E114" s="61"/>
      <c r="F114" s="70"/>
      <c r="G114" s="80"/>
      <c r="H114" s="70"/>
      <c r="J114" s="70"/>
      <c r="K114" s="61"/>
      <c r="L114" s="70"/>
      <c r="N114" s="70"/>
      <c r="P114" s="70"/>
      <c r="R114" s="70"/>
      <c r="T114" s="70"/>
      <c r="U114" s="61"/>
      <c r="V114" s="70"/>
      <c r="W114" s="42"/>
      <c r="X114" s="70"/>
      <c r="Y114" s="61"/>
      <c r="AA114" s="193"/>
      <c r="AB114" s="202"/>
      <c r="AC114" s="194"/>
      <c r="AD114" s="202"/>
      <c r="AE114" s="75"/>
      <c r="AF114" s="158"/>
      <c r="AG114" s="75"/>
      <c r="AH114" s="194"/>
      <c r="AI114" s="243"/>
      <c r="AJ114" s="282">
        <f t="shared" si="20"/>
        <v>0</v>
      </c>
      <c r="AK114" s="1"/>
      <c r="AL114" s="53"/>
      <c r="AM114" s="53">
        <f t="shared" si="22"/>
        <v>0</v>
      </c>
      <c r="AN114" s="53" t="e">
        <f>#REF!-AM114</f>
        <v>#REF!</v>
      </c>
      <c r="AO114" s="53"/>
    </row>
    <row r="115" spans="1:41" ht="15.75" thickBot="1">
      <c r="A115" s="4"/>
      <c r="B115" s="109" t="s">
        <v>113</v>
      </c>
      <c r="C115" s="125">
        <f>C37-C41-C70-C87-C100-C113</f>
        <v>70367.641000000018</v>
      </c>
      <c r="D115" s="122">
        <f>C115/C12</f>
        <v>0.27814286278958544</v>
      </c>
      <c r="E115" s="121">
        <f>E37-E41-E70-E87-E100-E113</f>
        <v>38710.838589108193</v>
      </c>
      <c r="F115" s="122">
        <f>E115/E12</f>
        <v>0.23362093429315092</v>
      </c>
      <c r="G115" s="121">
        <f>G37-G41-G70-G87-G100-G113</f>
        <v>63400.501944913842</v>
      </c>
      <c r="H115" s="122">
        <f>G115/G12</f>
        <v>0.32445171550318097</v>
      </c>
      <c r="I115" s="125">
        <f>I37-I41-I70-I87-I100-I113</f>
        <v>70344.641234741648</v>
      </c>
      <c r="J115" s="122">
        <f>I115/I12</f>
        <v>0.32772733820143157</v>
      </c>
      <c r="K115" s="121">
        <f>K37-K41-K70-K87-K100-K113</f>
        <v>68726.586836231916</v>
      </c>
      <c r="L115" s="122">
        <f>K115/K12</f>
        <v>0.36026014782074517</v>
      </c>
      <c r="M115" s="125">
        <f>M37-M41-M70-M87-M100-M113</f>
        <v>79405.074044949608</v>
      </c>
      <c r="N115" s="122">
        <f>M115/M12</f>
        <v>0.39185322209040474</v>
      </c>
      <c r="O115" s="125">
        <f>O37-O41-O70-O87-O100-O113</f>
        <v>72509.566859644518</v>
      </c>
      <c r="P115" s="122">
        <f>O115/O12</f>
        <v>0.37783934910366651</v>
      </c>
      <c r="Q115" s="125">
        <f>Q37-Q41-Q70-Q87-Q100-Q113</f>
        <v>57511.286213859159</v>
      </c>
      <c r="R115" s="122">
        <f>Q115/Q12</f>
        <v>0.31954050571755699</v>
      </c>
      <c r="S115" s="125">
        <f>S37-S41-S70-S87-S100-S113</f>
        <v>58472.449748406099</v>
      </c>
      <c r="T115" s="122">
        <f>S115/S12</f>
        <v>0.35967082864983996</v>
      </c>
      <c r="U115" s="121">
        <f>U37-U41-U70-U87-U100-U113</f>
        <v>80561.135238410367</v>
      </c>
      <c r="V115" s="122">
        <f>U115/U12</f>
        <v>0.34734839504051684</v>
      </c>
      <c r="W115" s="121">
        <f>W37-W41-W70-W87-W100-W113</f>
        <v>53284.602406399725</v>
      </c>
      <c r="X115" s="122">
        <f>W115/W12</f>
        <v>0.34345903012877715</v>
      </c>
      <c r="Y115" s="121">
        <f>Y37-Y41-Y70-Y87-Y100-Y113</f>
        <v>79541.594898297917</v>
      </c>
      <c r="Z115" s="122">
        <f>Y115/Y12</f>
        <v>0.36833027688080783</v>
      </c>
      <c r="AA115" s="278">
        <f>AA37-AA41-AA70-AA87-AA100-AA113</f>
        <v>792836.39001496276</v>
      </c>
      <c r="AB115" s="239">
        <f>AA115/AA12</f>
        <v>0.33599954895853262</v>
      </c>
      <c r="AC115" s="240">
        <f>AC37-AC70-AC87-AC100-AC113</f>
        <v>63839.247926529526</v>
      </c>
      <c r="AD115" s="239">
        <f>AC115/AC12</f>
        <v>7.9280747158473289E-2</v>
      </c>
      <c r="AE115" s="75"/>
      <c r="AF115" s="158"/>
      <c r="AG115" s="75"/>
      <c r="AH115" s="240">
        <f>AH37-AH70-AH87-AH100-AH113</f>
        <v>63839.247926529526</v>
      </c>
      <c r="AI115" s="250">
        <f>AH115/AH12</f>
        <v>7.9280747158473289E-2</v>
      </c>
      <c r="AJ115" s="286">
        <f t="shared" si="20"/>
        <v>920514.88586802175</v>
      </c>
      <c r="AK115" s="1"/>
      <c r="AL115" s="53"/>
      <c r="AM115" s="53">
        <f t="shared" si="22"/>
        <v>6427319.9306030348</v>
      </c>
      <c r="AN115" s="53" t="e">
        <f>#REF!-AM115</f>
        <v>#REF!</v>
      </c>
      <c r="AO115" s="53"/>
    </row>
    <row r="116" spans="1:41" ht="15.75" thickTop="1">
      <c r="A116" s="105"/>
      <c r="B116" s="110"/>
      <c r="C116" s="130"/>
      <c r="D116" s="70"/>
      <c r="E116" s="61"/>
      <c r="F116" s="70"/>
      <c r="G116" s="80"/>
      <c r="H116" s="70"/>
      <c r="J116" s="70"/>
      <c r="K116" s="61"/>
      <c r="L116" s="70"/>
      <c r="N116" s="70"/>
      <c r="P116" s="70"/>
      <c r="R116" s="70"/>
      <c r="T116" s="70"/>
      <c r="U116" s="61"/>
      <c r="V116" s="70"/>
      <c r="W116" s="42"/>
      <c r="X116" s="70"/>
      <c r="Y116" s="61"/>
      <c r="AA116" s="193"/>
      <c r="AB116" s="202"/>
      <c r="AC116" s="194"/>
      <c r="AD116" s="202"/>
      <c r="AE116" s="75"/>
      <c r="AF116" s="158"/>
      <c r="AG116" s="75"/>
      <c r="AH116" s="194"/>
      <c r="AI116" s="243"/>
      <c r="AJ116" s="282">
        <f t="shared" si="20"/>
        <v>0</v>
      </c>
      <c r="AK116" s="1"/>
      <c r="AL116" s="53"/>
      <c r="AM116" s="53">
        <f t="shared" si="22"/>
        <v>0</v>
      </c>
      <c r="AN116" s="53" t="e">
        <f>#REF!-AM116</f>
        <v>#REF!</v>
      </c>
      <c r="AO116" s="53"/>
    </row>
    <row r="117" spans="1:41" ht="15.75" thickBot="1">
      <c r="A117" s="4"/>
      <c r="B117" s="263" t="s">
        <v>123</v>
      </c>
      <c r="C117" s="126"/>
      <c r="D117" s="264"/>
      <c r="E117" s="126"/>
      <c r="F117" s="264"/>
      <c r="G117" s="126"/>
      <c r="H117" s="264"/>
      <c r="I117" s="126"/>
      <c r="J117" s="264"/>
      <c r="K117" s="126"/>
      <c r="L117" s="264"/>
      <c r="M117" s="126"/>
      <c r="N117" s="264"/>
      <c r="O117" s="126"/>
      <c r="P117" s="264"/>
      <c r="Q117" s="126"/>
      <c r="R117" s="264"/>
      <c r="S117" s="126"/>
      <c r="T117" s="264"/>
      <c r="U117" s="126"/>
      <c r="V117" s="264"/>
      <c r="W117" s="126"/>
      <c r="X117" s="264"/>
      <c r="Y117" s="126"/>
      <c r="Z117" s="265"/>
      <c r="AA117" s="276">
        <f>C117+E117+G117+I117+K117+M117+O117+Q117+S117+U117+W117+Y117</f>
        <v>0</v>
      </c>
      <c r="AB117" s="266"/>
      <c r="AC117" s="267"/>
      <c r="AD117" s="266"/>
      <c r="AE117" s="262"/>
      <c r="AF117" s="261"/>
      <c r="AG117" s="262"/>
      <c r="AH117" s="267"/>
      <c r="AI117" s="268"/>
      <c r="AJ117" s="282">
        <f t="shared" si="20"/>
        <v>0</v>
      </c>
      <c r="AK117" s="1"/>
      <c r="AL117" s="53"/>
      <c r="AM117" s="53">
        <f t="shared" si="22"/>
        <v>0</v>
      </c>
      <c r="AN117" s="53" t="e">
        <f>#REF!-AM117</f>
        <v>#REF!</v>
      </c>
      <c r="AO117" s="53"/>
    </row>
    <row r="118" spans="1:41" ht="15.75" thickTop="1">
      <c r="A118" s="105"/>
      <c r="B118" s="105"/>
      <c r="C118" s="130"/>
      <c r="D118" s="70"/>
      <c r="E118" s="61"/>
      <c r="F118" s="70"/>
      <c r="G118" s="80"/>
      <c r="H118" s="70"/>
      <c r="J118" s="70"/>
      <c r="K118" s="61"/>
      <c r="L118" s="70"/>
      <c r="N118" s="70"/>
      <c r="P118" s="70"/>
      <c r="R118" s="70"/>
      <c r="T118" s="70"/>
      <c r="U118" s="61"/>
      <c r="V118" s="70"/>
      <c r="W118" s="42"/>
      <c r="X118" s="70"/>
      <c r="Y118" s="61"/>
      <c r="AA118" s="193"/>
      <c r="AB118" s="202"/>
      <c r="AC118" s="194"/>
      <c r="AD118" s="202"/>
      <c r="AE118" s="75"/>
      <c r="AF118" s="158"/>
      <c r="AG118" s="75"/>
      <c r="AH118" s="194"/>
      <c r="AI118" s="243"/>
      <c r="AJ118" s="282">
        <f t="shared" si="20"/>
        <v>0</v>
      </c>
      <c r="AK118" s="1"/>
      <c r="AL118" s="53"/>
      <c r="AM118" s="53">
        <f t="shared" si="22"/>
        <v>0</v>
      </c>
      <c r="AN118" s="53" t="e">
        <f>#REF!-AM118</f>
        <v>#REF!</v>
      </c>
      <c r="AO118" s="53"/>
    </row>
    <row r="119" spans="1:41" ht="15.75" thickBot="1">
      <c r="A119" s="4"/>
      <c r="B119" s="4" t="s">
        <v>120</v>
      </c>
      <c r="C119" s="27">
        <f>C115-C117</f>
        <v>70367.641000000018</v>
      </c>
      <c r="D119" s="68">
        <f>C119/C12</f>
        <v>0.27814286278958544</v>
      </c>
      <c r="E119" s="34">
        <f>E115-E117</f>
        <v>38710.838589108193</v>
      </c>
      <c r="F119" s="68">
        <f>E119/E12</f>
        <v>0.23362093429315092</v>
      </c>
      <c r="G119" s="34">
        <f>G115-G117</f>
        <v>63400.501944913842</v>
      </c>
      <c r="H119" s="68">
        <f>G119/G12</f>
        <v>0.32445171550318097</v>
      </c>
      <c r="I119" s="20">
        <f>I115-I117</f>
        <v>70344.641234741648</v>
      </c>
      <c r="J119" s="68">
        <f>I119/I12</f>
        <v>0.32772733820143157</v>
      </c>
      <c r="K119" s="34">
        <f>K115-K117</f>
        <v>68726.586836231916</v>
      </c>
      <c r="L119" s="68">
        <f>K119/K12</f>
        <v>0.36026014782074517</v>
      </c>
      <c r="M119" s="20">
        <f>M115-M117</f>
        <v>79405.074044949608</v>
      </c>
      <c r="N119" s="68">
        <f>M119/M12</f>
        <v>0.39185322209040474</v>
      </c>
      <c r="O119" s="20">
        <f>O115-O117</f>
        <v>72509.566859644518</v>
      </c>
      <c r="P119" s="68">
        <f>O119/O12</f>
        <v>0.37783934910366651</v>
      </c>
      <c r="Q119" s="20">
        <f>Q115-Q117</f>
        <v>57511.286213859159</v>
      </c>
      <c r="R119" s="68">
        <f>Q119/Q12</f>
        <v>0.31954050571755699</v>
      </c>
      <c r="S119" s="20">
        <f>S115-S117</f>
        <v>58472.449748406099</v>
      </c>
      <c r="T119" s="68">
        <f>S119/S12</f>
        <v>0.35967082864983996</v>
      </c>
      <c r="U119" s="34">
        <f>U115-U117</f>
        <v>80561.135238410367</v>
      </c>
      <c r="V119" s="68">
        <f>U119/U12</f>
        <v>0.34734839504051684</v>
      </c>
      <c r="W119" s="34">
        <f>W115-W117</f>
        <v>53284.602406399725</v>
      </c>
      <c r="X119" s="68">
        <f>W119/W12</f>
        <v>0.34345903012877715</v>
      </c>
      <c r="Y119" s="34">
        <f>Y115-Y117</f>
        <v>79541.594898297917</v>
      </c>
      <c r="Z119" s="212">
        <f>Y119/Y12</f>
        <v>0.36833027688080783</v>
      </c>
      <c r="AA119" s="200">
        <f>AA115-AA117</f>
        <v>792836.39001496276</v>
      </c>
      <c r="AB119" s="234">
        <f>AA119/AA12</f>
        <v>0.33599954895853262</v>
      </c>
      <c r="AC119" s="206">
        <f>AC115</f>
        <v>63839.247926529526</v>
      </c>
      <c r="AD119" s="234">
        <f>AC119/AC12</f>
        <v>7.9280747158473289E-2</v>
      </c>
      <c r="AE119" s="75"/>
      <c r="AF119" s="158"/>
      <c r="AG119" s="75"/>
      <c r="AH119" s="206">
        <f>AH115</f>
        <v>63839.247926529526</v>
      </c>
      <c r="AI119" s="248">
        <f>AH119/AH12</f>
        <v>7.9280747158473289E-2</v>
      </c>
      <c r="AJ119" s="286">
        <f t="shared" si="20"/>
        <v>920514.88586802175</v>
      </c>
      <c r="AK119" s="1"/>
      <c r="AL119" s="53"/>
      <c r="AM119" s="53">
        <f t="shared" si="22"/>
        <v>6427319.9306030348</v>
      </c>
      <c r="AN119" s="53" t="e">
        <f>#REF!-AM119</f>
        <v>#REF!</v>
      </c>
      <c r="AO119" s="53"/>
    </row>
    <row r="120" spans="1:41" ht="15.75" thickTop="1">
      <c r="A120" s="16">
        <v>6501</v>
      </c>
      <c r="B120" s="111"/>
      <c r="C120" s="130"/>
      <c r="D120" s="49">
        <f>C120/C12</f>
        <v>0</v>
      </c>
      <c r="E120" s="61"/>
      <c r="F120" s="49">
        <f>E120/E12</f>
        <v>0</v>
      </c>
      <c r="G120" s="80"/>
      <c r="H120" s="49">
        <f>G120/G12</f>
        <v>0</v>
      </c>
      <c r="J120" s="49">
        <f>I120/I12</f>
        <v>0</v>
      </c>
      <c r="K120" s="61"/>
      <c r="L120" s="49">
        <f>K120/K12</f>
        <v>0</v>
      </c>
      <c r="N120" s="49">
        <f>M120/M12</f>
        <v>0</v>
      </c>
      <c r="P120" s="49">
        <f>O120/O12</f>
        <v>0</v>
      </c>
      <c r="R120" s="49">
        <f>Q120/Q12</f>
        <v>0</v>
      </c>
      <c r="T120" s="49">
        <f>S120/S12</f>
        <v>0</v>
      </c>
      <c r="U120" s="61"/>
      <c r="V120" s="49">
        <f>U120/U12</f>
        <v>0</v>
      </c>
      <c r="W120" s="42"/>
      <c r="X120" s="49">
        <f>W120/W12</f>
        <v>0</v>
      </c>
      <c r="Y120" s="61"/>
      <c r="Z120" s="168">
        <f>Y120/Y12</f>
        <v>0</v>
      </c>
      <c r="AA120" s="275">
        <f t="shared" ref="AA120:AA127" si="25">C120+E120+G120+I120+K120+M120+O120+Q120+S120+U120+W120+Y120</f>
        <v>0</v>
      </c>
      <c r="AB120" s="203">
        <f>AA120/AA12</f>
        <v>0</v>
      </c>
      <c r="AC120" s="194">
        <v>0</v>
      </c>
      <c r="AD120" s="203">
        <f>AC120/AC12</f>
        <v>0</v>
      </c>
      <c r="AE120" s="75"/>
      <c r="AF120" s="158"/>
      <c r="AG120" s="75"/>
      <c r="AH120" s="194">
        <v>0</v>
      </c>
      <c r="AI120" s="244">
        <f>AH120/AH12</f>
        <v>0</v>
      </c>
      <c r="AJ120" s="282">
        <f t="shared" si="20"/>
        <v>0</v>
      </c>
      <c r="AK120" s="1"/>
      <c r="AL120" s="53"/>
      <c r="AM120" s="53">
        <f t="shared" si="22"/>
        <v>0</v>
      </c>
      <c r="AN120" s="53" t="e">
        <f>#REF!-AM120</f>
        <v>#REF!</v>
      </c>
      <c r="AO120" s="53"/>
    </row>
    <row r="121" spans="1:41">
      <c r="A121" s="2">
        <v>6502</v>
      </c>
      <c r="B121" s="111" t="s">
        <v>116</v>
      </c>
      <c r="C121" s="18">
        <v>3789.5169999999998</v>
      </c>
      <c r="D121" s="49">
        <f>C121/C12</f>
        <v>1.4978860908095545E-2</v>
      </c>
      <c r="E121" s="18">
        <v>3789.5169999999998</v>
      </c>
      <c r="F121" s="49">
        <f>E121/E12</f>
        <v>2.286983527938535E-2</v>
      </c>
      <c r="G121" s="18">
        <v>3789.5169999999998</v>
      </c>
      <c r="H121" s="49">
        <f>G121/G12</f>
        <v>1.9392832136356654E-2</v>
      </c>
      <c r="I121" s="18">
        <v>3789.52</v>
      </c>
      <c r="J121" s="49">
        <f>I121/I12</f>
        <v>1.7654924111656818E-2</v>
      </c>
      <c r="K121" s="18">
        <v>3789.5169999999998</v>
      </c>
      <c r="L121" s="49">
        <f>K121/K12</f>
        <v>1.9864393351038664E-2</v>
      </c>
      <c r="M121" s="18">
        <v>3789.518</v>
      </c>
      <c r="N121" s="49">
        <f>M121/M12</f>
        <v>1.8700755037757345E-2</v>
      </c>
      <c r="O121" s="18">
        <v>3789.5169999999998</v>
      </c>
      <c r="P121" s="49">
        <f>O121/O12</f>
        <v>1.9746754789872683E-2</v>
      </c>
      <c r="Q121" s="18">
        <v>3789.518</v>
      </c>
      <c r="R121" s="49">
        <f>Q121/Q12</f>
        <v>2.1055075931408734E-2</v>
      </c>
      <c r="S121" s="18">
        <v>3789.518</v>
      </c>
      <c r="T121" s="49">
        <f>S121/S12</f>
        <v>2.3309765284472928E-2</v>
      </c>
      <c r="U121" s="18">
        <v>3789.518</v>
      </c>
      <c r="V121" s="49">
        <f>U121/U12</f>
        <v>1.6338933052293492E-2</v>
      </c>
      <c r="W121" s="18">
        <v>3789.518</v>
      </c>
      <c r="X121" s="49">
        <f>W121/W12</f>
        <v>2.4426271721213443E-2</v>
      </c>
      <c r="Y121" s="18">
        <v>3789.518</v>
      </c>
      <c r="Z121" s="168">
        <f>Y121/Y12</f>
        <v>1.7547978714400572E-2</v>
      </c>
      <c r="AA121" s="275">
        <f t="shared" si="25"/>
        <v>45474.212999999989</v>
      </c>
      <c r="AB121" s="203">
        <f>AA121/AA12</f>
        <v>1.9271712612681513E-2</v>
      </c>
      <c r="AC121" s="201">
        <v>319148.93617021275</v>
      </c>
      <c r="AD121" s="203">
        <f>AC121/AC12</f>
        <v>0.39634499052253908</v>
      </c>
      <c r="AE121" s="75"/>
      <c r="AF121" s="158"/>
      <c r="AG121" s="75"/>
      <c r="AH121" s="201">
        <v>319148.93617021275</v>
      </c>
      <c r="AI121" s="244">
        <f>AH121/AH12</f>
        <v>0.39634499052253908</v>
      </c>
      <c r="AJ121" s="282">
        <f t="shared" si="20"/>
        <v>683772.08534042549</v>
      </c>
      <c r="AK121" s="1"/>
      <c r="AL121" s="53">
        <v>15000000</v>
      </c>
      <c r="AM121" s="53">
        <f t="shared" si="22"/>
        <v>356214.68259999994</v>
      </c>
      <c r="AN121" s="53" t="e">
        <f>#REF!-AM121</f>
        <v>#REF!</v>
      </c>
      <c r="AO121" s="53">
        <f>AL121/5/9.4</f>
        <v>319148.93617021275</v>
      </c>
    </row>
    <row r="122" spans="1:41">
      <c r="A122" s="2">
        <v>6503</v>
      </c>
      <c r="B122" s="111" t="s">
        <v>117</v>
      </c>
      <c r="C122" s="18">
        <v>1086.248</v>
      </c>
      <c r="D122" s="49">
        <f>C122/C12</f>
        <v>4.2936230933116196E-3</v>
      </c>
      <c r="E122" s="18">
        <v>1062.4100000000001</v>
      </c>
      <c r="F122" s="49">
        <f>E122/E12</f>
        <v>6.4116724371923372E-3</v>
      </c>
      <c r="G122" s="18">
        <v>1062.4100000000001</v>
      </c>
      <c r="H122" s="49">
        <f>G122/G12</f>
        <v>5.4368772563856234E-3</v>
      </c>
      <c r="I122" s="18">
        <v>1062.42</v>
      </c>
      <c r="J122" s="49">
        <f>I122/I12</f>
        <v>4.9496887401851526E-3</v>
      </c>
      <c r="K122" s="18">
        <v>1062.4100000000001</v>
      </c>
      <c r="L122" s="49">
        <f>K122/K12</f>
        <v>5.5690817959325655E-3</v>
      </c>
      <c r="M122" s="18">
        <v>1062.4100000000001</v>
      </c>
      <c r="N122" s="49">
        <f>M122/M12</f>
        <v>5.2428486049317571E-3</v>
      </c>
      <c r="O122" s="18">
        <v>1062.4100000000001</v>
      </c>
      <c r="P122" s="49">
        <f>O122/O12</f>
        <v>5.5361012383131252E-3</v>
      </c>
      <c r="Q122" s="18">
        <v>1062.4100000000001</v>
      </c>
      <c r="R122" s="49">
        <f>Q122/Q12</f>
        <v>5.9028940409540098E-3</v>
      </c>
      <c r="S122" s="18">
        <v>1062.4100000000001</v>
      </c>
      <c r="T122" s="49">
        <f>S122/S12</f>
        <v>6.5350072847989863E-3</v>
      </c>
      <c r="U122" s="18">
        <v>1062.4100000000001</v>
      </c>
      <c r="V122" s="49">
        <f>U122/U12</f>
        <v>4.580700200945643E-3</v>
      </c>
      <c r="W122" s="18">
        <v>1062.4100000000001</v>
      </c>
      <c r="X122" s="49">
        <f>W122/W12</f>
        <v>6.8480253529167503E-3</v>
      </c>
      <c r="Y122" s="18">
        <v>1062.4100000000001</v>
      </c>
      <c r="Z122" s="168">
        <f>Y122/Y12</f>
        <v>4.9196620958038232E-3</v>
      </c>
      <c r="AA122" s="275">
        <f t="shared" si="25"/>
        <v>12772.768</v>
      </c>
      <c r="AB122" s="203">
        <f>AA122/AA12</f>
        <v>5.4130263708896927E-3</v>
      </c>
      <c r="AC122" s="201">
        <v>42553.191489361699</v>
      </c>
      <c r="AD122" s="203">
        <f>AC122/AC12</f>
        <v>5.2845998736338544E-2</v>
      </c>
      <c r="AE122" s="75"/>
      <c r="AF122" s="158"/>
      <c r="AG122" s="75"/>
      <c r="AH122" s="201">
        <v>42553.191489361699</v>
      </c>
      <c r="AI122" s="244">
        <f>AH122/AH12</f>
        <v>5.2845998736338544E-2</v>
      </c>
      <c r="AJ122" s="282">
        <f t="shared" si="20"/>
        <v>97879.150978723395</v>
      </c>
      <c r="AK122" s="1"/>
      <c r="AL122" s="53">
        <v>2000000</v>
      </c>
      <c r="AM122" s="53">
        <f t="shared" si="22"/>
        <v>99866.633999999991</v>
      </c>
      <c r="AN122" s="53" t="e">
        <f>#REF!-AM122</f>
        <v>#REF!</v>
      </c>
      <c r="AO122" s="53">
        <f>AL122/5/9.4</f>
        <v>42553.191489361699</v>
      </c>
    </row>
    <row r="123" spans="1:41">
      <c r="A123" s="2">
        <v>6504</v>
      </c>
      <c r="B123" s="111" t="s">
        <v>118</v>
      </c>
      <c r="C123" s="25"/>
      <c r="D123" s="49">
        <f>C123/C12</f>
        <v>0</v>
      </c>
      <c r="E123" s="62"/>
      <c r="F123" s="49">
        <f>E123/E12</f>
        <v>0</v>
      </c>
      <c r="G123" s="62"/>
      <c r="H123" s="49">
        <f>G123/G12</f>
        <v>0</v>
      </c>
      <c r="I123" s="25"/>
      <c r="J123" s="49">
        <f>I123/I12</f>
        <v>0</v>
      </c>
      <c r="K123" s="62"/>
      <c r="L123" s="49">
        <f>K123/K12</f>
        <v>0</v>
      </c>
      <c r="M123" s="25"/>
      <c r="N123" s="49">
        <f>M123/M12</f>
        <v>0</v>
      </c>
      <c r="O123" s="25"/>
      <c r="P123" s="49">
        <f>O123/O12</f>
        <v>0</v>
      </c>
      <c r="Q123" s="25"/>
      <c r="R123" s="49">
        <f>Q123/Q12</f>
        <v>0</v>
      </c>
      <c r="S123" s="25"/>
      <c r="T123" s="49">
        <f>S123/S12</f>
        <v>0</v>
      </c>
      <c r="U123" s="62"/>
      <c r="V123" s="49">
        <f>U123/U12</f>
        <v>0</v>
      </c>
      <c r="W123" s="62"/>
      <c r="X123" s="49">
        <f>W123/W12</f>
        <v>0</v>
      </c>
      <c r="Y123" s="62"/>
      <c r="Z123" s="168">
        <f>Y123/Y12</f>
        <v>0</v>
      </c>
      <c r="AA123" s="275">
        <f t="shared" si="25"/>
        <v>0</v>
      </c>
      <c r="AB123" s="203">
        <f>AA123/AA12</f>
        <v>0</v>
      </c>
      <c r="AC123" s="76"/>
      <c r="AD123" s="203">
        <f>AC123/AC12</f>
        <v>0</v>
      </c>
      <c r="AE123" s="75"/>
      <c r="AF123" s="158"/>
      <c r="AG123" s="75"/>
      <c r="AH123" s="76"/>
      <c r="AI123" s="244">
        <f>AH123/AH12</f>
        <v>0</v>
      </c>
      <c r="AJ123" s="282">
        <f t="shared" si="20"/>
        <v>0</v>
      </c>
      <c r="AK123" s="1"/>
      <c r="AL123" s="53"/>
      <c r="AM123" s="53">
        <f t="shared" si="22"/>
        <v>0</v>
      </c>
      <c r="AN123" s="53" t="e">
        <f>#REF!-AM123</f>
        <v>#REF!</v>
      </c>
      <c r="AO123" s="53"/>
    </row>
    <row r="124" spans="1:41">
      <c r="A124" s="98">
        <v>6505</v>
      </c>
      <c r="B124" s="2" t="s">
        <v>119</v>
      </c>
      <c r="C124" s="25"/>
      <c r="D124" s="49">
        <f>C124/C12</f>
        <v>0</v>
      </c>
      <c r="E124" s="62"/>
      <c r="F124" s="49">
        <f>E124/E12</f>
        <v>0</v>
      </c>
      <c r="G124" s="62"/>
      <c r="H124" s="49">
        <f>G124/G12</f>
        <v>0</v>
      </c>
      <c r="I124" s="25"/>
      <c r="J124" s="49">
        <f>I124/I12</f>
        <v>0</v>
      </c>
      <c r="K124" s="62">
        <v>0</v>
      </c>
      <c r="L124" s="49">
        <f>K124/K12</f>
        <v>0</v>
      </c>
      <c r="M124" s="25"/>
      <c r="N124" s="49">
        <f>M124/M12</f>
        <v>0</v>
      </c>
      <c r="O124" s="25"/>
      <c r="P124" s="49">
        <f>O124/O12</f>
        <v>0</v>
      </c>
      <c r="Q124" s="25"/>
      <c r="R124" s="49">
        <f>Q124/Q12</f>
        <v>0</v>
      </c>
      <c r="S124" s="25">
        <v>0</v>
      </c>
      <c r="T124" s="49">
        <f>S124/S12</f>
        <v>0</v>
      </c>
      <c r="U124" s="62"/>
      <c r="V124" s="49">
        <f>U124/U12</f>
        <v>0</v>
      </c>
      <c r="W124" s="62"/>
      <c r="X124" s="49">
        <f>W124/W12</f>
        <v>0</v>
      </c>
      <c r="Y124" s="62"/>
      <c r="Z124" s="168">
        <f>Y124/Y12</f>
        <v>0</v>
      </c>
      <c r="AA124" s="275">
        <f t="shared" si="25"/>
        <v>0</v>
      </c>
      <c r="AB124" s="203">
        <f>AA124/AA12</f>
        <v>0</v>
      </c>
      <c r="AC124" s="76"/>
      <c r="AD124" s="203">
        <f>AC124/AC12</f>
        <v>0</v>
      </c>
      <c r="AE124" s="75"/>
      <c r="AF124" s="158"/>
      <c r="AG124" s="75"/>
      <c r="AH124" s="76"/>
      <c r="AI124" s="244">
        <f>AH124/AH12</f>
        <v>0</v>
      </c>
      <c r="AJ124" s="282">
        <f t="shared" si="20"/>
        <v>0</v>
      </c>
      <c r="AK124" s="1"/>
      <c r="AL124" s="53"/>
      <c r="AM124" s="53">
        <f t="shared" si="22"/>
        <v>0</v>
      </c>
      <c r="AN124" s="53" t="e">
        <f>#REF!-AM124</f>
        <v>#REF!</v>
      </c>
      <c r="AO124" s="53"/>
    </row>
    <row r="125" spans="1:41">
      <c r="A125" s="2">
        <v>6506</v>
      </c>
      <c r="B125" s="2" t="s">
        <v>179</v>
      </c>
      <c r="C125" s="134"/>
      <c r="D125" s="49">
        <f t="shared" ref="D125:AD125" si="26">C125/C$12</f>
        <v>0</v>
      </c>
      <c r="E125" s="134"/>
      <c r="F125" s="49">
        <f t="shared" si="26"/>
        <v>0</v>
      </c>
      <c r="G125" s="134"/>
      <c r="H125" s="49">
        <f t="shared" si="26"/>
        <v>0</v>
      </c>
      <c r="I125" s="134"/>
      <c r="J125" s="49">
        <f t="shared" si="26"/>
        <v>0</v>
      </c>
      <c r="K125" s="134"/>
      <c r="L125" s="49">
        <f t="shared" si="26"/>
        <v>0</v>
      </c>
      <c r="M125" s="134"/>
      <c r="N125" s="49">
        <f t="shared" si="26"/>
        <v>0</v>
      </c>
      <c r="O125" s="134"/>
      <c r="P125" s="49">
        <f t="shared" si="26"/>
        <v>0</v>
      </c>
      <c r="Q125" s="134"/>
      <c r="R125" s="49">
        <f t="shared" si="26"/>
        <v>0</v>
      </c>
      <c r="S125" s="134"/>
      <c r="T125" s="49">
        <f t="shared" si="26"/>
        <v>0</v>
      </c>
      <c r="U125" s="134"/>
      <c r="V125" s="49">
        <f t="shared" si="26"/>
        <v>0</v>
      </c>
      <c r="W125" s="134"/>
      <c r="X125" s="49">
        <f t="shared" si="26"/>
        <v>0</v>
      </c>
      <c r="Y125" s="134"/>
      <c r="Z125" s="168">
        <f t="shared" si="26"/>
        <v>0</v>
      </c>
      <c r="AA125" s="275">
        <f t="shared" si="25"/>
        <v>0</v>
      </c>
      <c r="AB125" s="203">
        <f t="shared" si="26"/>
        <v>0</v>
      </c>
      <c r="AC125" s="194"/>
      <c r="AD125" s="203">
        <f t="shared" si="26"/>
        <v>0</v>
      </c>
      <c r="AE125" s="159"/>
      <c r="AF125" s="204"/>
      <c r="AG125" s="204"/>
      <c r="AH125" s="194"/>
      <c r="AI125" s="244">
        <f>AH125/AH$12</f>
        <v>0</v>
      </c>
      <c r="AJ125" s="282">
        <f t="shared" si="20"/>
        <v>0</v>
      </c>
      <c r="AK125" s="1"/>
      <c r="AL125" s="1"/>
      <c r="AM125" s="1"/>
      <c r="AN125" s="1"/>
      <c r="AO125" s="1"/>
    </row>
    <row r="126" spans="1:41">
      <c r="A126" s="124">
        <v>6604</v>
      </c>
      <c r="B126" s="2" t="s">
        <v>122</v>
      </c>
      <c r="C126" s="18">
        <v>7995</v>
      </c>
      <c r="D126" s="73">
        <f>C126/C12</f>
        <v>3.1601914692617521E-2</v>
      </c>
      <c r="E126" s="18">
        <v>7996</v>
      </c>
      <c r="F126" s="73">
        <f>E126/E12</f>
        <v>4.825607139220256E-2</v>
      </c>
      <c r="G126" s="18">
        <v>7996</v>
      </c>
      <c r="H126" s="73">
        <f>G126/G12</f>
        <v>4.0919485454823878E-2</v>
      </c>
      <c r="I126" s="18">
        <v>7996</v>
      </c>
      <c r="J126" s="73">
        <f>I126/I12</f>
        <v>3.7252415397413904E-2</v>
      </c>
      <c r="K126" s="18">
        <v>7996</v>
      </c>
      <c r="L126" s="73">
        <f>K126/K12</f>
        <v>4.1914494442142673E-2</v>
      </c>
      <c r="M126" s="18">
        <v>7996</v>
      </c>
      <c r="N126" s="73">
        <f>M126/M12</f>
        <v>3.9459170607424938E-2</v>
      </c>
      <c r="O126" s="18">
        <v>7996</v>
      </c>
      <c r="P126" s="73">
        <f>O126/O12</f>
        <v>4.1666273379911474E-2</v>
      </c>
      <c r="Q126" s="18">
        <v>7996</v>
      </c>
      <c r="R126" s="73">
        <f>Q126/Q12</f>
        <v>4.4426860394262344E-2</v>
      </c>
      <c r="S126" s="18">
        <v>7996</v>
      </c>
      <c r="T126" s="73">
        <f>S126/S12</f>
        <v>4.9184324553847095E-2</v>
      </c>
      <c r="U126" s="18">
        <v>7996</v>
      </c>
      <c r="V126" s="73">
        <f>U126/U12</f>
        <v>3.4475653285230147E-2</v>
      </c>
      <c r="W126" s="18">
        <v>7996</v>
      </c>
      <c r="X126" s="73">
        <f>W126/W12</f>
        <v>5.1540187612995295E-2</v>
      </c>
      <c r="Y126" s="18">
        <v>7996</v>
      </c>
      <c r="Z126" s="217">
        <f>Y126/Y12</f>
        <v>3.7026776967505358E-2</v>
      </c>
      <c r="AA126" s="275">
        <f t="shared" si="25"/>
        <v>95951</v>
      </c>
      <c r="AB126" s="203">
        <f>AA126/AA12</f>
        <v>4.0663487609986879E-2</v>
      </c>
      <c r="AC126" s="205"/>
      <c r="AD126" s="203">
        <f>AC126/AC12</f>
        <v>0</v>
      </c>
      <c r="AE126" s="159"/>
      <c r="AF126" s="227"/>
      <c r="AG126" s="159"/>
      <c r="AH126" s="205"/>
      <c r="AI126" s="244">
        <f>AH126/AH12</f>
        <v>0</v>
      </c>
      <c r="AJ126" s="282">
        <f t="shared" si="20"/>
        <v>95951</v>
      </c>
      <c r="AK126" s="1"/>
      <c r="AL126" s="53"/>
      <c r="AM126" s="53">
        <f t="shared" si="22"/>
        <v>751624.00000000012</v>
      </c>
      <c r="AN126" s="53" t="e">
        <f>#REF!-AM126</f>
        <v>#REF!</v>
      </c>
      <c r="AO126" s="53"/>
    </row>
    <row r="127" spans="1:41">
      <c r="A127" s="2"/>
      <c r="B127" s="2"/>
      <c r="C127" s="130"/>
      <c r="D127" s="49">
        <f>C127/C12</f>
        <v>0</v>
      </c>
      <c r="E127" s="43"/>
      <c r="F127" s="49">
        <f>E127/E12</f>
        <v>0</v>
      </c>
      <c r="G127" s="80"/>
      <c r="H127" s="49">
        <f>G127/G12</f>
        <v>0</v>
      </c>
      <c r="I127" s="18"/>
      <c r="J127" s="49">
        <f>I127/I12</f>
        <v>0</v>
      </c>
      <c r="K127" s="43"/>
      <c r="L127" s="49">
        <f>K127/K12</f>
        <v>0</v>
      </c>
      <c r="M127" s="18"/>
      <c r="N127" s="49">
        <f>M127/M12</f>
        <v>0</v>
      </c>
      <c r="O127" s="18"/>
      <c r="P127" s="49">
        <f>O127/O12</f>
        <v>0</v>
      </c>
      <c r="Q127" s="18"/>
      <c r="R127" s="49">
        <f>Q127/Q12</f>
        <v>0</v>
      </c>
      <c r="S127" s="18"/>
      <c r="T127" s="49">
        <f>S127/S12</f>
        <v>0</v>
      </c>
      <c r="U127" s="43"/>
      <c r="V127" s="49">
        <f>U127/U12</f>
        <v>0</v>
      </c>
      <c r="W127" s="33"/>
      <c r="X127" s="49">
        <f>W127/W12</f>
        <v>0</v>
      </c>
      <c r="Y127" s="43"/>
      <c r="Z127" s="168">
        <f>Y127/Y12</f>
        <v>0</v>
      </c>
      <c r="AA127" s="275">
        <f t="shared" si="25"/>
        <v>0</v>
      </c>
      <c r="AB127" s="203">
        <f>AA127/AA12</f>
        <v>0</v>
      </c>
      <c r="AC127" s="205">
        <f>AA127/12</f>
        <v>0</v>
      </c>
      <c r="AD127" s="203">
        <f>AC127/AC12</f>
        <v>0</v>
      </c>
      <c r="AE127" s="159"/>
      <c r="AF127" s="227"/>
      <c r="AG127" s="159"/>
      <c r="AH127" s="205">
        <f>AF127/12</f>
        <v>0</v>
      </c>
      <c r="AI127" s="244">
        <f>AH127/AH12</f>
        <v>0</v>
      </c>
      <c r="AJ127" s="282">
        <f t="shared" si="20"/>
        <v>0</v>
      </c>
      <c r="AK127" s="1"/>
      <c r="AL127" s="53"/>
      <c r="AM127" s="53">
        <f t="shared" si="22"/>
        <v>0</v>
      </c>
      <c r="AN127" s="53" t="e">
        <f>#REF!-AM127</f>
        <v>#REF!</v>
      </c>
      <c r="AO127" s="53"/>
    </row>
    <row r="128" spans="1:41" ht="15" customHeight="1">
      <c r="A128" s="45">
        <v>6798</v>
      </c>
      <c r="B128" s="45" t="s">
        <v>169</v>
      </c>
      <c r="C128" s="58">
        <f>SUM(C120:C127)</f>
        <v>12870.764999999999</v>
      </c>
      <c r="D128" s="66">
        <f>C128/C12</f>
        <v>5.0874398694024686E-2</v>
      </c>
      <c r="E128" s="58">
        <f>SUM(E120:E127)</f>
        <v>12847.927</v>
      </c>
      <c r="F128" s="66">
        <f>E128/E12</f>
        <v>7.7537579108780244E-2</v>
      </c>
      <c r="G128" s="58">
        <f>SUM(G120:G127)</f>
        <v>12847.927</v>
      </c>
      <c r="H128" s="66">
        <f>G128/G12</f>
        <v>6.5749194847566153E-2</v>
      </c>
      <c r="I128" s="58">
        <f>SUM(I120:I127)</f>
        <v>12847.94</v>
      </c>
      <c r="J128" s="66">
        <f>I128/I12</f>
        <v>5.9857028249255879E-2</v>
      </c>
      <c r="K128" s="58">
        <f>SUM(K120:K127)</f>
        <v>12847.927</v>
      </c>
      <c r="L128" s="66">
        <f>K128/K12</f>
        <v>6.7347969589113904E-2</v>
      </c>
      <c r="M128" s="58">
        <f>SUM(M120:M127)</f>
        <v>12847.928</v>
      </c>
      <c r="N128" s="66">
        <f>M128/M12</f>
        <v>6.3402774250114036E-2</v>
      </c>
      <c r="O128" s="58">
        <f>SUM(O120:O127)</f>
        <v>12847.927</v>
      </c>
      <c r="P128" s="66">
        <f>O128/O12</f>
        <v>6.6949129408097274E-2</v>
      </c>
      <c r="Q128" s="58">
        <f>SUM(Q120:Q127)</f>
        <v>12847.928</v>
      </c>
      <c r="R128" s="66">
        <f>Q128/Q12</f>
        <v>7.1384830366625088E-2</v>
      </c>
      <c r="S128" s="58">
        <f>SUM(S120:S127)</f>
        <v>12847.928</v>
      </c>
      <c r="T128" s="66">
        <f>S128/S$12</f>
        <v>7.9029097123119008E-2</v>
      </c>
      <c r="U128" s="58">
        <f>SUM(U120:U127)</f>
        <v>12847.928</v>
      </c>
      <c r="V128" s="66">
        <f>U128/U12</f>
        <v>5.5395286538469285E-2</v>
      </c>
      <c r="W128" s="58">
        <f>SUM(W120:W127)</f>
        <v>12847.928</v>
      </c>
      <c r="X128" s="66">
        <f>W128/W12</f>
        <v>8.2814484687125489E-2</v>
      </c>
      <c r="Y128" s="58">
        <f>SUM(Y120:Y127)</f>
        <v>12847.928</v>
      </c>
      <c r="Z128" s="213">
        <f>Y128/Y$12</f>
        <v>5.9494417777709759E-2</v>
      </c>
      <c r="AA128" s="276">
        <f>SUM(AA120:AA127)</f>
        <v>154197.98099999997</v>
      </c>
      <c r="AB128" s="230">
        <f>AA128/AA$12</f>
        <v>6.5348226593558073E-2</v>
      </c>
      <c r="AC128" s="229">
        <f>SUM(AC120:AC127)</f>
        <v>361702.12765957444</v>
      </c>
      <c r="AD128" s="230">
        <f>AC128/AC$12</f>
        <v>0.44919098925887763</v>
      </c>
      <c r="AE128" s="230"/>
      <c r="AF128" s="261"/>
      <c r="AG128" s="262"/>
      <c r="AH128" s="229">
        <f>SUM(AH120:AH127)</f>
        <v>361702.12765957444</v>
      </c>
      <c r="AI128" s="246">
        <f>AH128/AH$12</f>
        <v>0.44919098925887763</v>
      </c>
      <c r="AJ128" s="286">
        <f t="shared" si="20"/>
        <v>877602.23631914891</v>
      </c>
      <c r="AK128" s="1"/>
      <c r="AL128" s="53"/>
      <c r="AM128" s="53">
        <f t="shared" si="22"/>
        <v>1207705.3166</v>
      </c>
      <c r="AN128" s="53" t="e">
        <f>#REF!-AM128</f>
        <v>#REF!</v>
      </c>
      <c r="AO128" s="53"/>
    </row>
    <row r="129" spans="1:41">
      <c r="A129" s="45">
        <v>6799</v>
      </c>
      <c r="B129" s="45" t="s">
        <v>114</v>
      </c>
      <c r="C129" s="29">
        <f>C41+C70+C87+C100+C113+C128+C117</f>
        <v>41583.062999999995</v>
      </c>
      <c r="D129" s="66">
        <f>C129/C12</f>
        <v>0.16436577981034897</v>
      </c>
      <c r="E129" s="85">
        <f>E41+E70+E87+E100+E113+E128+E117</f>
        <v>45006.413197720365</v>
      </c>
      <c r="F129" s="66">
        <f>E129/E12</f>
        <v>0.27161489349376705</v>
      </c>
      <c r="G129" s="85">
        <f>G41+G70+G87+G100+G113+G128+G117</f>
        <v>47668.171993961805</v>
      </c>
      <c r="H129" s="66">
        <f>G129/G12</f>
        <v>0.24394160462293185</v>
      </c>
      <c r="I129" s="29">
        <f>I41+I70+I87+I100+I113+I128+I117</f>
        <v>45160.35706423808</v>
      </c>
      <c r="J129" s="66">
        <f>I129/I12</f>
        <v>0.21039674597955632</v>
      </c>
      <c r="K129" s="85">
        <f>K41+K70+K87+K100+K113+K128+K117</f>
        <v>44988.315455902106</v>
      </c>
      <c r="L129" s="66">
        <f>K129/K12</f>
        <v>0.23582572512978614</v>
      </c>
      <c r="M129" s="29">
        <f>M41+M70+M87+M100+M113+M128+M117</f>
        <v>46587.468318271109</v>
      </c>
      <c r="N129" s="66">
        <f>M129/M12</f>
        <v>0.22990280897181889</v>
      </c>
      <c r="O129" s="29">
        <f>O41+O70+O87+O100+O113+O128+O117</f>
        <v>39139.043580304402</v>
      </c>
      <c r="P129" s="66">
        <f>O129/O12</f>
        <v>0.20394923582356581</v>
      </c>
      <c r="Q129" s="29">
        <f>Q41+Q70+Q87+Q100+Q113+Q128+Q117</f>
        <v>48804.877446488681</v>
      </c>
      <c r="R129" s="66">
        <f>Q129/Q12</f>
        <v>0.27116651786821355</v>
      </c>
      <c r="S129" s="29">
        <f>S41+S70+S87+S100+S113+S128+S117</f>
        <v>44926.921707859641</v>
      </c>
      <c r="T129" s="66">
        <f>S129/S12</f>
        <v>0.2763507126669143</v>
      </c>
      <c r="U129" s="85">
        <f>U41+U70+U87+U100+U113+U128+U117</f>
        <v>43911.949955766002</v>
      </c>
      <c r="V129" s="66">
        <f>U129/U12</f>
        <v>0.18933131087460806</v>
      </c>
      <c r="W129" s="85">
        <f>W41+W70+W87+W100+W113+W128+W117</f>
        <v>44499.605288390871</v>
      </c>
      <c r="X129" s="66">
        <f>W129/W12</f>
        <v>0.28683316724210894</v>
      </c>
      <c r="Y129" s="85">
        <f>Y41+Y70+Y87+Y100+Y113+Y128+Y117</f>
        <v>45832.018629451522</v>
      </c>
      <c r="Z129" s="213">
        <f>Y129/Y12</f>
        <v>0.21223260777429367</v>
      </c>
      <c r="AA129" s="200">
        <f>AA41+AA70+AA87+AA100+AA113+AA128+AA117</f>
        <v>538108.20563835453</v>
      </c>
      <c r="AB129" s="234">
        <f>AA129/AA12</f>
        <v>0.22804719443056873</v>
      </c>
      <c r="AC129" s="200">
        <f>AC41+AC70+AC87+AC100+AC113+AC128+AC117</f>
        <v>697851.60659270524</v>
      </c>
      <c r="AD129" s="234">
        <f>AC129/AC12</f>
        <v>0.86664863032352335</v>
      </c>
      <c r="AE129" s="75"/>
      <c r="AF129" s="158"/>
      <c r="AG129" s="75"/>
      <c r="AH129" s="200">
        <f>AH41+AH70+AH87+AH100+AH113+AH128+AH117</f>
        <v>697851.60659270524</v>
      </c>
      <c r="AI129" s="248">
        <f>AH129/AH12</f>
        <v>0.86664863032352335</v>
      </c>
      <c r="AJ129" s="286">
        <f t="shared" si="20"/>
        <v>1933811.4188237649</v>
      </c>
      <c r="AK129" s="1"/>
      <c r="AL129" s="53"/>
      <c r="AM129" s="53">
        <f t="shared" si="22"/>
        <v>4244276.0567419613</v>
      </c>
      <c r="AN129" s="53" t="e">
        <f>#REF!-AM129</f>
        <v>#REF!</v>
      </c>
      <c r="AO129" s="53"/>
    </row>
    <row r="130" spans="1:41" ht="15.75" thickBot="1">
      <c r="A130" s="10">
        <v>6999</v>
      </c>
      <c r="B130" s="10" t="s">
        <v>121</v>
      </c>
      <c r="C130" s="28">
        <f>C119-C128</f>
        <v>57496.876000000018</v>
      </c>
      <c r="D130" s="67">
        <f>C130/C12</f>
        <v>0.22726846409556078</v>
      </c>
      <c r="E130" s="41">
        <f>E119-E128</f>
        <v>25862.911589108193</v>
      </c>
      <c r="F130" s="154">
        <f>E130/E12</f>
        <v>0.15608335518437066</v>
      </c>
      <c r="G130" s="41">
        <f>G119-G128</f>
        <v>50552.574944913838</v>
      </c>
      <c r="H130" s="67">
        <f>G130/G12</f>
        <v>0.25870252065561478</v>
      </c>
      <c r="I130" s="22">
        <f>I119-I128</f>
        <v>57496.701234741646</v>
      </c>
      <c r="J130" s="67">
        <f>I130/I12</f>
        <v>0.26787030995217564</v>
      </c>
      <c r="K130" s="41">
        <f>K119-K128</f>
        <v>55878.65983623192</v>
      </c>
      <c r="L130" s="67">
        <f>K130/K12</f>
        <v>0.29291217823163129</v>
      </c>
      <c r="M130" s="22">
        <f>M119-M128</f>
        <v>66557.146044949608</v>
      </c>
      <c r="N130" s="67">
        <f>M130/M12</f>
        <v>0.3284504478402907</v>
      </c>
      <c r="O130" s="22">
        <f>O119-O128</f>
        <v>59661.639859644521</v>
      </c>
      <c r="P130" s="67">
        <f>O130/O12</f>
        <v>0.31089021969556924</v>
      </c>
      <c r="Q130" s="46">
        <f>Q119-Q128</f>
        <v>44663.358213859159</v>
      </c>
      <c r="R130" s="67">
        <f>Q130/Q12</f>
        <v>0.24815567535093186</v>
      </c>
      <c r="S130" s="22">
        <f>S119-S128</f>
        <v>45624.5217484061</v>
      </c>
      <c r="T130" s="67">
        <f>S130/S12</f>
        <v>0.28064173152672095</v>
      </c>
      <c r="U130" s="41">
        <f>U119-U128</f>
        <v>67713.207238410367</v>
      </c>
      <c r="V130" s="67">
        <f>U130/U12</f>
        <v>0.29195310850204753</v>
      </c>
      <c r="W130" s="50">
        <f>W119-W128</f>
        <v>40436.674406399725</v>
      </c>
      <c r="X130" s="67">
        <f>W130/W12</f>
        <v>0.26064454544165166</v>
      </c>
      <c r="Y130" s="41">
        <f>Y119-Y128</f>
        <v>66693.666898297917</v>
      </c>
      <c r="Z130" s="214">
        <f>Y130/Y12</f>
        <v>0.30883585910309802</v>
      </c>
      <c r="AA130" s="279">
        <f>AA119-AA128</f>
        <v>638638.40901496285</v>
      </c>
      <c r="AB130" s="236">
        <f>AA130/AA12</f>
        <v>0.27065132236497458</v>
      </c>
      <c r="AC130" s="279">
        <f>AC119-AC128</f>
        <v>-297862.87973304489</v>
      </c>
      <c r="AD130" s="236">
        <f>AC130/AC12</f>
        <v>-0.3699102421004043</v>
      </c>
      <c r="AE130" s="260"/>
      <c r="AF130" s="259"/>
      <c r="AG130" s="260"/>
      <c r="AH130" s="279">
        <f>AH119-AH128</f>
        <v>-297862.87973304489</v>
      </c>
      <c r="AI130" s="249">
        <f>AH130/AH12</f>
        <v>-0.3699102421004043</v>
      </c>
      <c r="AJ130" s="287">
        <f t="shared" si="20"/>
        <v>42912.649548873072</v>
      </c>
      <c r="AK130" s="1"/>
      <c r="AL130" s="53"/>
      <c r="AM130" s="53">
        <f t="shared" si="22"/>
        <v>5219614.6140030352</v>
      </c>
      <c r="AN130" s="53" t="e">
        <f>#REF!-AM130</f>
        <v>#REF!</v>
      </c>
      <c r="AO130" s="53"/>
    </row>
    <row r="131" spans="1:41" ht="15.75" thickTop="1">
      <c r="A131" s="1"/>
      <c r="B131" s="1"/>
      <c r="C131" s="30"/>
      <c r="D131" s="72"/>
      <c r="E131" s="62"/>
      <c r="F131" s="72"/>
      <c r="G131" s="87"/>
      <c r="H131" s="72"/>
      <c r="I131" s="25"/>
      <c r="J131" s="72"/>
      <c r="K131" s="62"/>
      <c r="L131" s="72"/>
      <c r="M131" s="25"/>
      <c r="N131" s="72"/>
      <c r="O131" s="25"/>
      <c r="P131" s="72"/>
      <c r="Q131" s="25"/>
      <c r="R131" s="72"/>
      <c r="S131" s="25"/>
      <c r="T131" s="72"/>
      <c r="U131" s="62"/>
      <c r="V131" s="72"/>
      <c r="W131" s="44"/>
      <c r="X131" s="72"/>
      <c r="Y131" s="62"/>
      <c r="Z131" s="103"/>
      <c r="AA131" s="193"/>
      <c r="AB131" s="202"/>
      <c r="AC131" s="197"/>
      <c r="AD131" s="202"/>
      <c r="AE131" s="159"/>
      <c r="AF131" s="227"/>
      <c r="AG131" s="159"/>
      <c r="AH131" s="197"/>
      <c r="AI131" s="251"/>
      <c r="AJ131" s="282">
        <f t="shared" si="20"/>
        <v>0</v>
      </c>
      <c r="AK131" s="1"/>
      <c r="AL131" s="53"/>
      <c r="AM131" s="53">
        <f t="shared" si="22"/>
        <v>0</v>
      </c>
      <c r="AN131" s="53" t="e">
        <f>#REF!-AM131</f>
        <v>#REF!</v>
      </c>
      <c r="AO131" s="53"/>
    </row>
    <row r="132" spans="1:41" ht="15.75" thickBot="1">
      <c r="A132" s="185"/>
      <c r="B132" s="10" t="s">
        <v>180</v>
      </c>
      <c r="C132" s="186"/>
      <c r="D132" s="187">
        <f>C132/C$12</f>
        <v>0</v>
      </c>
      <c r="E132" s="186">
        <v>16580.57</v>
      </c>
      <c r="F132" s="187">
        <f>E132/E$12</f>
        <v>0.10006417829457379</v>
      </c>
      <c r="G132" s="186">
        <v>13806.35</v>
      </c>
      <c r="H132" s="187">
        <f>G132/G$12</f>
        <v>7.0653919210756339E-2</v>
      </c>
      <c r="I132" s="186">
        <v>23016.36</v>
      </c>
      <c r="J132" s="187">
        <f>I132/I$12</f>
        <v>0.10723049070240388</v>
      </c>
      <c r="K132" s="186">
        <v>8063.2</v>
      </c>
      <c r="L132" s="187">
        <f>K132/K$12</f>
        <v>4.2266752324397798E-2</v>
      </c>
      <c r="M132" s="186">
        <v>29093.39</v>
      </c>
      <c r="N132" s="187">
        <f>M132/M$12</f>
        <v>0.14357191590274521</v>
      </c>
      <c r="O132" s="186">
        <v>0</v>
      </c>
      <c r="P132" s="187">
        <f>O132/O$12</f>
        <v>0</v>
      </c>
      <c r="Q132" s="186">
        <v>0</v>
      </c>
      <c r="R132" s="187">
        <f>Q132/Q$12</f>
        <v>0</v>
      </c>
      <c r="S132" s="186">
        <v>0</v>
      </c>
      <c r="T132" s="187">
        <f>S132/S$12</f>
        <v>0</v>
      </c>
      <c r="U132" s="186">
        <v>0</v>
      </c>
      <c r="V132" s="187">
        <f>U132/U$12</f>
        <v>0</v>
      </c>
      <c r="W132" s="186">
        <v>0</v>
      </c>
      <c r="X132" s="187">
        <f>W132/W$12</f>
        <v>0</v>
      </c>
      <c r="Y132" s="186">
        <v>0</v>
      </c>
      <c r="Z132" s="218">
        <f>Y132/Y$12</f>
        <v>0</v>
      </c>
      <c r="AA132" s="279">
        <f>C132+E132+G132+I132+K132+M132+O132+Q132+S132+U132+W132+Y132</f>
        <v>90559.87</v>
      </c>
      <c r="AB132" s="241">
        <f>AA132/AA$12</f>
        <v>3.8378757404373298E-2</v>
      </c>
      <c r="AC132" s="207">
        <f>AA132/12</f>
        <v>7546.6558333333332</v>
      </c>
      <c r="AD132" s="241">
        <f>AC132/AC$12</f>
        <v>9.3720482688500091E-3</v>
      </c>
      <c r="AE132" s="75"/>
      <c r="AF132" s="76"/>
      <c r="AG132" s="76"/>
      <c r="AH132" s="207">
        <v>0</v>
      </c>
      <c r="AI132" s="252">
        <f>AH132/AH$12</f>
        <v>0</v>
      </c>
      <c r="AJ132" s="282">
        <f t="shared" si="20"/>
        <v>98106.525833333333</v>
      </c>
      <c r="AK132" s="1"/>
      <c r="AL132" s="1"/>
      <c r="AM132" s="1"/>
      <c r="AN132" s="1"/>
      <c r="AO132" s="1"/>
    </row>
    <row r="133" spans="1:41" ht="15.75" thickTop="1">
      <c r="A133" s="1"/>
      <c r="B133" s="258"/>
      <c r="C133" s="130"/>
      <c r="D133" s="49"/>
      <c r="E133" s="130"/>
      <c r="F133" s="70"/>
      <c r="G133" s="130"/>
      <c r="H133" s="70"/>
      <c r="I133" s="130"/>
      <c r="J133" s="70"/>
      <c r="K133" s="130"/>
      <c r="L133" s="70"/>
      <c r="M133" s="130"/>
      <c r="N133" s="70"/>
      <c r="O133" s="130"/>
      <c r="P133" s="70"/>
      <c r="Q133" s="130"/>
      <c r="R133" s="70"/>
      <c r="S133" s="130"/>
      <c r="T133" s="70"/>
      <c r="U133" s="130"/>
      <c r="V133" s="70"/>
      <c r="W133" s="130"/>
      <c r="X133" s="70"/>
      <c r="Y133" s="130"/>
      <c r="AA133" s="193"/>
      <c r="AB133" s="202"/>
      <c r="AC133" s="159"/>
      <c r="AD133" s="202"/>
      <c r="AE133" s="159"/>
      <c r="AF133" s="204"/>
      <c r="AG133" s="204"/>
      <c r="AH133" s="159"/>
      <c r="AI133" s="243"/>
      <c r="AJ133" s="282">
        <f t="shared" si="20"/>
        <v>0</v>
      </c>
      <c r="AK133" s="1"/>
      <c r="AL133" s="1"/>
      <c r="AM133" s="1"/>
      <c r="AN133" s="1"/>
      <c r="AO133" s="1"/>
    </row>
    <row r="134" spans="1:41" ht="15.75" thickBot="1">
      <c r="A134" s="185"/>
      <c r="B134" s="10" t="s">
        <v>182</v>
      </c>
      <c r="C134" s="186"/>
      <c r="D134" s="187">
        <f>C134/C$12</f>
        <v>0</v>
      </c>
      <c r="E134" s="186">
        <v>0</v>
      </c>
      <c r="F134" s="187">
        <f>E134/E$12</f>
        <v>0</v>
      </c>
      <c r="G134" s="186">
        <v>-50174</v>
      </c>
      <c r="H134" s="187">
        <f>G134/G$12</f>
        <v>-0.25676516548403366</v>
      </c>
      <c r="I134" s="186">
        <v>0</v>
      </c>
      <c r="J134" s="187">
        <f>I134/I$12</f>
        <v>0</v>
      </c>
      <c r="K134" s="186">
        <v>84000</v>
      </c>
      <c r="L134" s="187">
        <f>K134/K$12</f>
        <v>0.44032235281890747</v>
      </c>
      <c r="M134" s="186">
        <v>0</v>
      </c>
      <c r="N134" s="187">
        <f>M134/M$12</f>
        <v>0</v>
      </c>
      <c r="O134" s="186">
        <v>0</v>
      </c>
      <c r="P134" s="187">
        <f>O134/O$12</f>
        <v>0</v>
      </c>
      <c r="Q134" s="186">
        <v>0</v>
      </c>
      <c r="R134" s="187">
        <f>Q134/Q$12</f>
        <v>0</v>
      </c>
      <c r="S134" s="186">
        <v>0</v>
      </c>
      <c r="T134" s="187">
        <f>S134/S$12</f>
        <v>0</v>
      </c>
      <c r="U134" s="186">
        <v>0</v>
      </c>
      <c r="V134" s="187">
        <f>U134/U$12</f>
        <v>0</v>
      </c>
      <c r="W134" s="186">
        <v>0</v>
      </c>
      <c r="X134" s="187">
        <f>W134/W$12</f>
        <v>0</v>
      </c>
      <c r="Y134" s="186">
        <v>0</v>
      </c>
      <c r="Z134" s="218">
        <f>Y134/Y$12</f>
        <v>0</v>
      </c>
      <c r="AA134" s="279">
        <f>C134+E134+G134+I134+K134+M134+O134+Q134+S134+U134+W134+Y134</f>
        <v>33826</v>
      </c>
      <c r="AB134" s="241">
        <f>AA134/AA$12</f>
        <v>1.4335266249392046E-2</v>
      </c>
      <c r="AC134" s="207">
        <f>AA134/12</f>
        <v>2818.8333333333335</v>
      </c>
      <c r="AD134" s="241">
        <f>AC134/AC$12</f>
        <v>3.5006554751251346E-3</v>
      </c>
      <c r="AE134" s="75"/>
      <c r="AF134" s="76"/>
      <c r="AG134" s="76"/>
      <c r="AH134" s="207">
        <v>0</v>
      </c>
      <c r="AI134" s="252">
        <f>AH134/AH$12</f>
        <v>0</v>
      </c>
      <c r="AJ134" s="282">
        <f>SUM(AA134+AC134+AH134)</f>
        <v>36644.833333333336</v>
      </c>
      <c r="AK134" s="1"/>
      <c r="AL134" s="1"/>
      <c r="AM134" s="1"/>
      <c r="AN134" s="1"/>
      <c r="AO134" s="1"/>
    </row>
    <row r="135" spans="1:41" ht="15.75" thickTop="1">
      <c r="A135" s="1"/>
      <c r="B135" s="65"/>
      <c r="C135" s="130"/>
      <c r="D135" s="49"/>
      <c r="E135" s="130"/>
      <c r="F135" s="70"/>
      <c r="G135" s="130"/>
      <c r="H135" s="70"/>
      <c r="I135" s="130"/>
      <c r="J135" s="70"/>
      <c r="K135" s="130"/>
      <c r="L135" s="70"/>
      <c r="M135" s="130"/>
      <c r="N135" s="70"/>
      <c r="O135" s="130"/>
      <c r="P135" s="70"/>
      <c r="Q135" s="130"/>
      <c r="R135" s="70"/>
      <c r="S135" s="130"/>
      <c r="T135" s="70"/>
      <c r="U135" s="130"/>
      <c r="V135" s="70"/>
      <c r="W135" s="130"/>
      <c r="X135" s="72"/>
      <c r="Y135" s="130"/>
      <c r="Z135" s="103"/>
      <c r="AA135" s="193"/>
      <c r="AB135" s="202"/>
      <c r="AC135" s="159"/>
      <c r="AD135" s="202"/>
      <c r="AE135" s="159"/>
      <c r="AF135" s="204"/>
      <c r="AG135" s="204"/>
      <c r="AH135" s="159"/>
      <c r="AI135" s="243"/>
      <c r="AJ135" s="282">
        <f>SUM(AA135+AC135+AH135)</f>
        <v>0</v>
      </c>
      <c r="AK135" s="1"/>
      <c r="AL135" s="1"/>
      <c r="AM135" s="1"/>
      <c r="AN135" s="1"/>
      <c r="AO135" s="1"/>
    </row>
    <row r="136" spans="1:41" ht="15.75" thickBot="1">
      <c r="A136" s="106"/>
      <c r="B136" s="188" t="s">
        <v>181</v>
      </c>
      <c r="C136" s="189">
        <f>C130-C132-C134</f>
        <v>57496.876000000018</v>
      </c>
      <c r="D136" s="120">
        <f>C136/C$12</f>
        <v>0.22726846409556078</v>
      </c>
      <c r="E136" s="189">
        <f>E130-E132-E134</f>
        <v>9282.3415891081931</v>
      </c>
      <c r="F136" s="120">
        <f>E136/E$12</f>
        <v>5.6019176889796893E-2</v>
      </c>
      <c r="G136" s="189">
        <f>G130-G132-G134</f>
        <v>86920.224944913847</v>
      </c>
      <c r="H136" s="120">
        <f>G136/G$12</f>
        <v>0.44481376692889218</v>
      </c>
      <c r="I136" s="189">
        <f>I130-I132-I134</f>
        <v>34480.341234741645</v>
      </c>
      <c r="J136" s="120">
        <f>I136/I$12</f>
        <v>0.16063981924977178</v>
      </c>
      <c r="K136" s="189">
        <f>K130-K132-K134</f>
        <v>-36184.540163768077</v>
      </c>
      <c r="L136" s="120">
        <f>K136/K$12</f>
        <v>-0.18967692691167401</v>
      </c>
      <c r="M136" s="189">
        <f>M130-M132-M134</f>
        <v>37463.756044949609</v>
      </c>
      <c r="N136" s="120">
        <f>M136/M$12</f>
        <v>0.18487853193754553</v>
      </c>
      <c r="O136" s="189">
        <f>O130-O132-O134</f>
        <v>59661.639859644521</v>
      </c>
      <c r="P136" s="120">
        <f>O136/O$12</f>
        <v>0.31089021969556924</v>
      </c>
      <c r="Q136" s="189">
        <f>Q130-Q132-Q134</f>
        <v>44663.358213859159</v>
      </c>
      <c r="R136" s="120">
        <f>Q136/Q$12</f>
        <v>0.24815567535093186</v>
      </c>
      <c r="S136" s="189">
        <f>S130-S132-S134</f>
        <v>45624.5217484061</v>
      </c>
      <c r="T136" s="120">
        <f>S136/S$12</f>
        <v>0.28064173152672095</v>
      </c>
      <c r="U136" s="189">
        <f>U130-U132-U134</f>
        <v>67713.207238410367</v>
      </c>
      <c r="V136" s="120">
        <f>U136/U$12</f>
        <v>0.29195310850204753</v>
      </c>
      <c r="W136" s="189">
        <f>W130-W132-W134</f>
        <v>40436.674406399725</v>
      </c>
      <c r="X136" s="120">
        <f>W136/W$12</f>
        <v>0.26064454544165166</v>
      </c>
      <c r="Y136" s="189">
        <f>Y130-Y132-Y134</f>
        <v>66693.666898297917</v>
      </c>
      <c r="Z136" s="219">
        <f>Y136/Y$12</f>
        <v>0.30883585910309802</v>
      </c>
      <c r="AA136" s="280">
        <f>AA130-AA132-AA134</f>
        <v>514252.53901496285</v>
      </c>
      <c r="AB136" s="253">
        <f>AA136/AA$12</f>
        <v>0.21793729871120923</v>
      </c>
      <c r="AC136" s="254">
        <f>AC130-AC132-AC134</f>
        <v>-308228.36889971152</v>
      </c>
      <c r="AD136" s="253">
        <f>AC136/AC$12</f>
        <v>-0.38278294584437944</v>
      </c>
      <c r="AE136" s="255"/>
      <c r="AF136" s="256"/>
      <c r="AG136" s="256"/>
      <c r="AH136" s="254">
        <f>AH130-AH132-AH134</f>
        <v>-297862.87973304489</v>
      </c>
      <c r="AI136" s="257">
        <f>AH136/AH$12</f>
        <v>-0.3699102421004043</v>
      </c>
      <c r="AJ136" s="285">
        <f>SUM(AA136+AC136+AH136)</f>
        <v>-91838.70961779356</v>
      </c>
      <c r="AK136" s="1"/>
      <c r="AL136" s="1"/>
      <c r="AM136" s="1"/>
      <c r="AN136" s="1"/>
      <c r="AO136" s="1"/>
    </row>
    <row r="137" spans="1:41" ht="15.75" thickTop="1"/>
    <row r="138" spans="1:41">
      <c r="A138" s="1"/>
      <c r="B138" s="64" t="s">
        <v>183</v>
      </c>
      <c r="C138" s="63">
        <f>C136</f>
        <v>57496.876000000018</v>
      </c>
      <c r="D138" s="15"/>
      <c r="E138" s="63">
        <f>E136+C138</f>
        <v>66779.217589108215</v>
      </c>
      <c r="F138" s="190"/>
      <c r="G138" s="63">
        <f>G136+E138</f>
        <v>153699.44253402206</v>
      </c>
      <c r="H138" s="190"/>
      <c r="I138" s="63">
        <f>I136+G138</f>
        <v>188179.78376876371</v>
      </c>
      <c r="J138" s="190"/>
      <c r="K138" s="63">
        <f>K136+I138</f>
        <v>151995.24360499563</v>
      </c>
      <c r="L138" s="190"/>
      <c r="M138" s="63">
        <f>M136+K138</f>
        <v>189458.99964994524</v>
      </c>
      <c r="N138" s="190"/>
      <c r="O138" s="63">
        <f>O136+M138</f>
        <v>249120.63950958976</v>
      </c>
      <c r="P138" s="190"/>
      <c r="Q138" s="63">
        <f>Q136+O138</f>
        <v>293783.99772344891</v>
      </c>
      <c r="R138" s="190"/>
      <c r="S138" s="63">
        <f>S136+Q138</f>
        <v>339408.51947185502</v>
      </c>
      <c r="T138" s="190"/>
      <c r="U138" s="63">
        <f>U136+S138</f>
        <v>407121.72671026539</v>
      </c>
      <c r="V138" s="190"/>
      <c r="W138" s="63">
        <f>W136+U138</f>
        <v>447558.4011166651</v>
      </c>
      <c r="X138" s="190"/>
      <c r="Y138" s="63">
        <f>Y136+W138</f>
        <v>514252.06801496301</v>
      </c>
      <c r="Z138" s="281"/>
      <c r="AJ138" s="99"/>
      <c r="AK138" s="1"/>
      <c r="AL138" s="191"/>
      <c r="AM138" s="191">
        <f>C138*0.985+E138*0.985+G138*0.985+I138*0.985+K138*0.985+M138*0.985+O138*0.985+Q138*0.985+S138*0.985+U138*0.985+W138*0.985+Y138*0.985</f>
        <v>3012972.0919582178</v>
      </c>
      <c r="AN138" s="191" t="e">
        <f>#REF!-AM138</f>
        <v>#REF!</v>
      </c>
      <c r="AO138" s="191"/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30 Q130">
    <cfRule type="cellIs" dxfId="2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A1:AR188"/>
  <sheetViews>
    <sheetView zoomScale="85" zoomScaleNormal="85" zoomScaleSheetLayoutView="91" workbookViewId="0">
      <pane xSplit="2" ySplit="5" topLeftCell="U125" activePane="bottomRight" state="frozen"/>
      <selection pane="topRight" activeCell="C1" sqref="C1"/>
      <selection pane="bottomLeft" activeCell="A6" sqref="A6"/>
      <selection pane="bottomRight" activeCell="Y152" sqref="Y152"/>
    </sheetView>
  </sheetViews>
  <sheetFormatPr defaultColWidth="9.140625" defaultRowHeight="15"/>
  <cols>
    <col min="1" max="1" width="6.7109375" style="100" bestFit="1" customWidth="1"/>
    <col min="2" max="2" width="37.140625" style="100" bestFit="1" customWidth="1"/>
    <col min="3" max="3" width="13.28515625" style="24" bestFit="1" customWidth="1"/>
    <col min="4" max="4" width="8.140625" style="104" bestFit="1" customWidth="1"/>
    <col min="5" max="5" width="13.28515625" style="123" bestFit="1" customWidth="1"/>
    <col min="6" max="6" width="7.85546875" style="104" customWidth="1"/>
    <col min="7" max="7" width="13.28515625" style="123" bestFit="1" customWidth="1"/>
    <col min="8" max="8" width="7.140625" style="104" bestFit="1" customWidth="1"/>
    <col min="9" max="9" width="15.42578125" style="24" customWidth="1"/>
    <col min="10" max="10" width="8.7109375" style="104" customWidth="1"/>
    <col min="11" max="11" width="13.7109375" style="123" customWidth="1"/>
    <col min="12" max="12" width="8.85546875" style="104" bestFit="1" customWidth="1"/>
    <col min="13" max="13" width="14.28515625" style="24" customWidth="1"/>
    <col min="14" max="14" width="7.5703125" style="104" customWidth="1"/>
    <col min="15" max="15" width="13.5703125" style="24" customWidth="1"/>
    <col min="16" max="16" width="7.5703125" style="104" customWidth="1"/>
    <col min="17" max="17" width="14" style="24" customWidth="1"/>
    <col min="18" max="18" width="7.5703125" style="104" customWidth="1"/>
    <col min="19" max="19" width="13.5703125" style="24" customWidth="1"/>
    <col min="20" max="20" width="7.5703125" style="104" customWidth="1"/>
    <col min="21" max="21" width="13.5703125" style="123" customWidth="1"/>
    <col min="22" max="22" width="7.5703125" style="104" customWidth="1"/>
    <col min="23" max="23" width="12.140625" style="100" customWidth="1"/>
    <col min="24" max="24" width="7.5703125" style="104" customWidth="1"/>
    <col min="25" max="25" width="13.5703125" style="123" customWidth="1"/>
    <col min="26" max="26" width="7.5703125" style="104" customWidth="1"/>
    <col min="27" max="27" width="15.28515625" style="100" bestFit="1" customWidth="1"/>
    <col min="28" max="28" width="9.7109375" style="155" customWidth="1"/>
    <col min="29" max="29" width="12.85546875" style="100" customWidth="1"/>
    <col min="30" max="30" width="7.5703125" style="155" customWidth="1"/>
    <col min="31" max="31" width="22.5703125" style="100" hidden="1" customWidth="1"/>
    <col min="32" max="32" width="14" style="123" hidden="1" customWidth="1"/>
    <col min="33" max="33" width="57.42578125" style="100" hidden="1" customWidth="1"/>
    <col min="34" max="34" width="14.42578125" style="100" hidden="1" customWidth="1"/>
    <col min="35" max="35" width="9.140625" style="100" hidden="1" customWidth="1"/>
    <col min="36" max="36" width="13.28515625" style="283" hidden="1" customWidth="1"/>
    <col min="37" max="37" width="10.28515625" style="100" hidden="1" customWidth="1"/>
    <col min="38" max="40" width="14.28515625" style="100" hidden="1" customWidth="1"/>
    <col min="41" max="41" width="10.5703125" style="5" bestFit="1" customWidth="1"/>
    <col min="42" max="42" width="14.28515625" style="1" bestFit="1" customWidth="1"/>
    <col min="43" max="43" width="15.28515625" style="1" bestFit="1" customWidth="1"/>
    <col min="44" max="16384" width="9.140625" style="1"/>
  </cols>
  <sheetData>
    <row r="1" spans="1:43">
      <c r="A1" s="643" t="s">
        <v>266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4"/>
      <c r="AE1" s="1"/>
      <c r="AF1" s="63"/>
      <c r="AG1" s="1"/>
      <c r="AH1" s="75"/>
      <c r="AI1" s="75"/>
      <c r="AJ1" s="99"/>
      <c r="AK1" s="1"/>
      <c r="AL1" s="5"/>
      <c r="AM1" s="5"/>
      <c r="AN1" s="5"/>
    </row>
    <row r="2" spans="1:43">
      <c r="A2" s="26"/>
      <c r="B2" s="26"/>
      <c r="C2" s="128" t="s">
        <v>65</v>
      </c>
      <c r="D2" s="74"/>
      <c r="E2" s="645" t="s">
        <v>66</v>
      </c>
      <c r="F2" s="646"/>
      <c r="G2" s="156" t="s">
        <v>81</v>
      </c>
      <c r="H2" s="74"/>
      <c r="I2" s="645" t="s">
        <v>82</v>
      </c>
      <c r="J2" s="646"/>
      <c r="K2" s="645" t="s">
        <v>83</v>
      </c>
      <c r="L2" s="647"/>
      <c r="M2" s="645" t="s">
        <v>84</v>
      </c>
      <c r="N2" s="646"/>
      <c r="O2" s="645" t="s">
        <v>85</v>
      </c>
      <c r="P2" s="647"/>
      <c r="Q2" s="645" t="s">
        <v>86</v>
      </c>
      <c r="R2" s="646"/>
      <c r="S2" s="640" t="s">
        <v>87</v>
      </c>
      <c r="T2" s="640"/>
      <c r="U2" s="645" t="s">
        <v>108</v>
      </c>
      <c r="V2" s="647"/>
      <c r="W2" s="645" t="s">
        <v>109</v>
      </c>
      <c r="X2" s="646"/>
      <c r="Y2" s="640" t="s">
        <v>110</v>
      </c>
      <c r="Z2" s="640"/>
      <c r="AA2" s="641" t="s">
        <v>173</v>
      </c>
      <c r="AB2" s="641"/>
      <c r="AC2" s="642" t="s">
        <v>207</v>
      </c>
      <c r="AD2" s="642"/>
      <c r="AE2" s="89"/>
      <c r="AF2" s="143"/>
      <c r="AG2" s="89"/>
      <c r="AH2" s="642" t="s">
        <v>186</v>
      </c>
      <c r="AI2" s="642"/>
      <c r="AJ2" s="99" t="s">
        <v>173</v>
      </c>
      <c r="AK2" s="1"/>
      <c r="AL2" s="5"/>
      <c r="AM2" s="5"/>
      <c r="AN2" s="5"/>
      <c r="AO2" s="5" t="s">
        <v>208</v>
      </c>
    </row>
    <row r="3" spans="1:43" ht="15.75" thickBot="1">
      <c r="A3" s="47"/>
      <c r="B3" s="11" t="s">
        <v>70</v>
      </c>
      <c r="C3" s="129" t="s">
        <v>172</v>
      </c>
      <c r="D3" s="69" t="s">
        <v>80</v>
      </c>
      <c r="E3" s="52" t="s">
        <v>172</v>
      </c>
      <c r="F3" s="69" t="s">
        <v>80</v>
      </c>
      <c r="G3" s="77" t="s">
        <v>172</v>
      </c>
      <c r="H3" s="69" t="s">
        <v>80</v>
      </c>
      <c r="I3" s="51" t="s">
        <v>172</v>
      </c>
      <c r="J3" s="69" t="s">
        <v>80</v>
      </c>
      <c r="K3" s="52" t="s">
        <v>172</v>
      </c>
      <c r="L3" s="69" t="s">
        <v>80</v>
      </c>
      <c r="M3" s="51" t="s">
        <v>172</v>
      </c>
      <c r="N3" s="69" t="s">
        <v>80</v>
      </c>
      <c r="O3" s="51" t="s">
        <v>172</v>
      </c>
      <c r="P3" s="69" t="s">
        <v>80</v>
      </c>
      <c r="Q3" s="51" t="s">
        <v>172</v>
      </c>
      <c r="R3" s="69" t="s">
        <v>80</v>
      </c>
      <c r="S3" s="51" t="s">
        <v>172</v>
      </c>
      <c r="T3" s="69" t="s">
        <v>80</v>
      </c>
      <c r="U3" s="52" t="s">
        <v>172</v>
      </c>
      <c r="V3" s="69" t="s">
        <v>80</v>
      </c>
      <c r="W3" s="48" t="s">
        <v>172</v>
      </c>
      <c r="X3" s="69" t="s">
        <v>80</v>
      </c>
      <c r="Y3" s="52" t="s">
        <v>172</v>
      </c>
      <c r="Z3" s="69" t="s">
        <v>80</v>
      </c>
      <c r="AA3" s="220" t="s">
        <v>172</v>
      </c>
      <c r="AB3" s="221" t="s">
        <v>80</v>
      </c>
      <c r="AC3" s="222" t="s">
        <v>172</v>
      </c>
      <c r="AD3" s="223" t="s">
        <v>80</v>
      </c>
      <c r="AE3" s="146" t="s">
        <v>138</v>
      </c>
      <c r="AF3" s="224" t="s">
        <v>133</v>
      </c>
      <c r="AG3" s="146" t="s">
        <v>132</v>
      </c>
      <c r="AH3" s="222" t="s">
        <v>172</v>
      </c>
      <c r="AI3" s="223" t="s">
        <v>80</v>
      </c>
      <c r="AJ3" s="99"/>
      <c r="AK3" s="1"/>
      <c r="AL3" s="5"/>
      <c r="AM3" s="5"/>
      <c r="AN3" s="5"/>
    </row>
    <row r="4" spans="1:43">
      <c r="A4" s="1"/>
      <c r="B4" s="1"/>
      <c r="C4" s="130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69"/>
      <c r="AB4" s="270"/>
      <c r="AC4" s="271"/>
      <c r="AD4" s="270"/>
      <c r="AE4" s="271"/>
      <c r="AF4" s="272"/>
      <c r="AG4" s="271"/>
      <c r="AH4" s="271"/>
      <c r="AI4" s="273"/>
      <c r="AJ4" s="99"/>
      <c r="AK4" s="1"/>
      <c r="AL4" s="5"/>
      <c r="AM4" s="5"/>
      <c r="AN4" s="5"/>
    </row>
    <row r="5" spans="1:43" s="5" customFormat="1">
      <c r="A5" s="90">
        <v>5004</v>
      </c>
      <c r="B5" s="91" t="s">
        <v>72</v>
      </c>
      <c r="C5" s="96">
        <f>Markaz!C5+Avenue!C5</f>
        <v>321585.52517794579</v>
      </c>
      <c r="D5" s="95"/>
      <c r="E5" s="96">
        <f>Markaz!E5+Avenue!E5</f>
        <v>233921.24769446661</v>
      </c>
      <c r="F5" s="95"/>
      <c r="G5" s="96">
        <f>Markaz!G5+Avenue!G5</f>
        <v>431886.84151781764</v>
      </c>
      <c r="H5" s="95"/>
      <c r="I5" s="96">
        <f>Markaz!I5+Avenue!I5</f>
        <v>366456.97750994004</v>
      </c>
      <c r="J5" s="94"/>
      <c r="K5" s="96">
        <f>Markaz!K5+Avenue!K5</f>
        <v>316087.96526382578</v>
      </c>
      <c r="L5" s="95"/>
      <c r="M5" s="96">
        <f>Markaz!M5+Avenue!M5</f>
        <v>486847.00672265503</v>
      </c>
      <c r="N5" s="95"/>
      <c r="O5" s="96">
        <f>Markaz!O5+Avenue!O5</f>
        <v>300889.20315807743</v>
      </c>
      <c r="P5" s="95"/>
      <c r="Q5" s="96">
        <f>Markaz!Q5+Avenue!Q5</f>
        <v>376663.4786708093</v>
      </c>
      <c r="R5" s="95"/>
      <c r="S5" s="96">
        <f>Markaz!S5+Avenue!S5</f>
        <v>361082.83804954629</v>
      </c>
      <c r="T5" s="95"/>
      <c r="U5" s="96">
        <f>Markaz!U5+Avenue!U5</f>
        <v>322821.73060440802</v>
      </c>
      <c r="V5" s="95"/>
      <c r="W5" s="96">
        <f>Markaz!W5+Avenue!W5</f>
        <v>276591.35602850869</v>
      </c>
      <c r="X5" s="95"/>
      <c r="Y5" s="96">
        <f>Markaz!Y5+Avenue!Y5</f>
        <v>470066.01869096712</v>
      </c>
      <c r="Z5" s="208"/>
      <c r="AA5" s="274">
        <f>C5+E5+G5+I5+K5+M5+O5+Q5+S5+U5+W5+Y5</f>
        <v>4264900.1890889676</v>
      </c>
      <c r="AB5" s="225"/>
      <c r="AC5" s="226">
        <f>AA5/12</f>
        <v>355408.3490907473</v>
      </c>
      <c r="AD5" s="225"/>
      <c r="AE5" s="159"/>
      <c r="AF5" s="227"/>
      <c r="AG5" s="227"/>
      <c r="AH5" s="226">
        <f>2265*365</f>
        <v>826725</v>
      </c>
      <c r="AI5" s="242"/>
      <c r="AJ5" s="284">
        <f t="shared" ref="AJ5:AJ36" si="0">SUM(AA5+AC5+AH5)</f>
        <v>5447033.5381797152</v>
      </c>
      <c r="AK5" s="53">
        <f t="shared" ref="AK5:AK36" si="1">AA5-AL5</f>
        <v>0</v>
      </c>
      <c r="AL5" s="53">
        <f>C5+E5+G5+I5+K5+M5+O5+Q5+S5+U5+W5+Y5</f>
        <v>4264900.1890889676</v>
      </c>
      <c r="AM5" s="53">
        <f>G5*9.4+J5*9.4+K5*9.4+M5*9.4+O5*9.4+Q5*9.4+S5*9.4+U5*9.4+W5*9.4+Y5*9.4</f>
        <v>31423602.523842182</v>
      </c>
      <c r="AN5" s="53" t="e">
        <f>#REF!-AM5</f>
        <v>#REF!</v>
      </c>
      <c r="AO5" s="53"/>
      <c r="AP5" s="53"/>
      <c r="AQ5" s="53"/>
    </row>
    <row r="6" spans="1:43">
      <c r="A6" s="1">
        <v>5005</v>
      </c>
      <c r="B6" s="15" t="s">
        <v>68</v>
      </c>
      <c r="C6" s="130">
        <f>Markaz!C6+Avenue!C6</f>
        <v>0</v>
      </c>
      <c r="D6" s="49">
        <f t="shared" ref="D6:D11" si="2">C6/C$5</f>
        <v>0</v>
      </c>
      <c r="E6" s="130">
        <f>Markaz!E6+Avenue!E6</f>
        <v>0</v>
      </c>
      <c r="F6" s="49">
        <f t="shared" ref="F6:F11" si="3">E6/E$5</f>
        <v>0</v>
      </c>
      <c r="G6" s="130">
        <f>Markaz!G6+Avenue!G6</f>
        <v>0</v>
      </c>
      <c r="H6" s="49">
        <f>G6/G$5</f>
        <v>0</v>
      </c>
      <c r="I6" s="130">
        <f>Markaz!I6+Avenue!I6</f>
        <v>0</v>
      </c>
      <c r="J6" s="49">
        <f>I6/I$5</f>
        <v>0</v>
      </c>
      <c r="K6" s="130">
        <f>Markaz!K6+Avenue!K6</f>
        <v>0</v>
      </c>
      <c r="L6" s="49">
        <f t="shared" ref="L6:L11" si="4">K6/K$5</f>
        <v>0</v>
      </c>
      <c r="M6" s="130">
        <f>Markaz!M6+Avenue!M6</f>
        <v>0</v>
      </c>
      <c r="N6" s="49">
        <f t="shared" ref="N6:N11" si="5">M6/M$5</f>
        <v>0</v>
      </c>
      <c r="O6" s="130">
        <f>Markaz!O6+Avenue!O6</f>
        <v>0</v>
      </c>
      <c r="P6" s="49">
        <f t="shared" ref="P6:P11" si="6">O6/O$5</f>
        <v>0</v>
      </c>
      <c r="Q6" s="130">
        <f>Markaz!Q6+Avenue!Q6</f>
        <v>0</v>
      </c>
      <c r="R6" s="49">
        <f t="shared" ref="R6:R11" si="7">Q6/Q$5</f>
        <v>0</v>
      </c>
      <c r="S6" s="130">
        <f>Markaz!S6+Avenue!S6</f>
        <v>0</v>
      </c>
      <c r="T6" s="49">
        <f t="shared" ref="T6:T11" si="8">S6/S$5</f>
        <v>0</v>
      </c>
      <c r="U6" s="130">
        <f>Markaz!U6+Avenue!U6</f>
        <v>0</v>
      </c>
      <c r="V6" s="49">
        <f t="shared" ref="V6:V11" si="9">U6/U$5</f>
        <v>0</v>
      </c>
      <c r="W6" s="130">
        <f>Markaz!W6+Avenue!W6</f>
        <v>0</v>
      </c>
      <c r="X6" s="49">
        <f t="shared" ref="X6:X11" si="10">W6/W$5</f>
        <v>0</v>
      </c>
      <c r="Y6" s="130">
        <f>Markaz!Y6+Avenue!Y6</f>
        <v>0</v>
      </c>
      <c r="Z6" s="168">
        <f t="shared" ref="Z6:Z11" si="11">Y6/Y$5</f>
        <v>0</v>
      </c>
      <c r="AA6" s="275">
        <f t="shared" ref="AA6:AA11" si="12">C6+E6+G6+I6+K6+M6+O6+Q6+S6+U6+W6+Y6</f>
        <v>0</v>
      </c>
      <c r="AB6" s="202">
        <f t="shared" ref="AB6:AB11" si="13">AA6/AA$5</f>
        <v>0</v>
      </c>
      <c r="AC6" s="194">
        <f t="shared" ref="AC6:AC42" si="14">AA6/12</f>
        <v>0</v>
      </c>
      <c r="AD6" s="202">
        <f t="shared" ref="AD6:AD11" si="15">AC6/AC$5</f>
        <v>0</v>
      </c>
      <c r="AE6" s="75"/>
      <c r="AF6" s="158"/>
      <c r="AG6" s="75"/>
      <c r="AH6" s="194">
        <v>0</v>
      </c>
      <c r="AI6" s="243">
        <f t="shared" ref="AI6:AI11" si="16">AH6/AH$5</f>
        <v>0</v>
      </c>
      <c r="AJ6" s="282">
        <f t="shared" si="0"/>
        <v>0</v>
      </c>
      <c r="AK6" s="53">
        <f t="shared" si="1"/>
        <v>0</v>
      </c>
      <c r="AL6" s="53">
        <f t="shared" ref="AL6:AL69" si="17">C6+E6+G6+I6+K6+M6+O6+Q6+S6+U6+W6+Y6</f>
        <v>0</v>
      </c>
      <c r="AM6" s="53">
        <f>G6*9.4+I6*9.4+K6*9.4+M6*9.4+O6*9.4+Q6*9.4+S6*9.4+U6*9.4+W6*9.4+Y6*9.4</f>
        <v>0</v>
      </c>
      <c r="AN6" s="53" t="e">
        <f>#REF!-AM6</f>
        <v>#REF!</v>
      </c>
      <c r="AO6" s="53"/>
    </row>
    <row r="7" spans="1:43">
      <c r="A7" s="13">
        <v>5051</v>
      </c>
      <c r="B7" s="115" t="s">
        <v>106</v>
      </c>
      <c r="C7" s="131">
        <f>Markaz!C7+Avenue!C7</f>
        <v>0</v>
      </c>
      <c r="D7" s="49">
        <f t="shared" si="2"/>
        <v>0</v>
      </c>
      <c r="E7" s="131">
        <f>Markaz!E7+Avenue!E7</f>
        <v>0</v>
      </c>
      <c r="F7" s="49">
        <f t="shared" si="3"/>
        <v>0</v>
      </c>
      <c r="G7" s="131">
        <f>Markaz!G7+Avenue!G7</f>
        <v>0</v>
      </c>
      <c r="H7" s="49">
        <f t="shared" ref="H7:J11" si="18">G7/G$5</f>
        <v>0</v>
      </c>
      <c r="I7" s="131">
        <f>Markaz!I7+Avenue!I7</f>
        <v>0</v>
      </c>
      <c r="J7" s="49">
        <f>I7/I$5</f>
        <v>0</v>
      </c>
      <c r="K7" s="131">
        <f>Markaz!K7+Avenue!K7</f>
        <v>0</v>
      </c>
      <c r="L7" s="49">
        <f t="shared" si="4"/>
        <v>0</v>
      </c>
      <c r="M7" s="131">
        <f>Markaz!M7+Avenue!M7</f>
        <v>0</v>
      </c>
      <c r="N7" s="49">
        <f t="shared" si="5"/>
        <v>0</v>
      </c>
      <c r="O7" s="131">
        <f>Markaz!O7+Avenue!O7</f>
        <v>0</v>
      </c>
      <c r="P7" s="49">
        <f t="shared" si="6"/>
        <v>0</v>
      </c>
      <c r="Q7" s="131">
        <f>Markaz!Q7+Avenue!Q7</f>
        <v>0</v>
      </c>
      <c r="R7" s="49">
        <f t="shared" si="7"/>
        <v>0</v>
      </c>
      <c r="S7" s="131">
        <f>Markaz!S7+Avenue!S7</f>
        <v>0</v>
      </c>
      <c r="T7" s="49">
        <f t="shared" si="8"/>
        <v>0</v>
      </c>
      <c r="U7" s="131">
        <f>Markaz!U7+Avenue!U7</f>
        <v>0</v>
      </c>
      <c r="V7" s="49">
        <f t="shared" si="9"/>
        <v>0</v>
      </c>
      <c r="W7" s="131">
        <f>Markaz!W7+Avenue!W7</f>
        <v>0</v>
      </c>
      <c r="X7" s="49">
        <f t="shared" si="10"/>
        <v>0</v>
      </c>
      <c r="Y7" s="131">
        <f>Markaz!Y7+Avenue!Y7</f>
        <v>0</v>
      </c>
      <c r="Z7" s="168">
        <f t="shared" si="11"/>
        <v>0</v>
      </c>
      <c r="AA7" s="275">
        <f t="shared" si="12"/>
        <v>0</v>
      </c>
      <c r="AB7" s="203">
        <f t="shared" si="13"/>
        <v>0</v>
      </c>
      <c r="AC7" s="196">
        <f t="shared" si="14"/>
        <v>0</v>
      </c>
      <c r="AD7" s="203">
        <f t="shared" si="15"/>
        <v>0</v>
      </c>
      <c r="AE7" s="75"/>
      <c r="AF7" s="158"/>
      <c r="AG7" s="75"/>
      <c r="AH7" s="196">
        <v>0</v>
      </c>
      <c r="AI7" s="244">
        <f t="shared" si="16"/>
        <v>0</v>
      </c>
      <c r="AJ7" s="282">
        <f t="shared" si="0"/>
        <v>0</v>
      </c>
      <c r="AK7" s="53">
        <f t="shared" si="1"/>
        <v>0</v>
      </c>
      <c r="AL7" s="53">
        <f t="shared" si="17"/>
        <v>0</v>
      </c>
      <c r="AM7" s="53">
        <f>G7*9.4+I7*9.4+K7*9.4+M7*9.4+O7*9.4+Q7*9.4+S7*9.4+U7*9.4+W7*9.4+Y7*9.4</f>
        <v>0</v>
      </c>
      <c r="AN7" s="53" t="e">
        <f>#REF!-AM7</f>
        <v>#REF!</v>
      </c>
      <c r="AO7" s="53"/>
    </row>
    <row r="8" spans="1:43">
      <c r="A8" s="1">
        <v>5052</v>
      </c>
      <c r="B8" s="1" t="s">
        <v>90</v>
      </c>
      <c r="C8" s="23">
        <f>Markaz!C8+Avenue!C8</f>
        <v>0</v>
      </c>
      <c r="D8" s="49">
        <f t="shared" si="2"/>
        <v>0</v>
      </c>
      <c r="E8" s="23">
        <f>Markaz!E8+Avenue!E8</f>
        <v>0</v>
      </c>
      <c r="F8" s="49">
        <f t="shared" si="3"/>
        <v>0</v>
      </c>
      <c r="G8" s="23">
        <f>Markaz!G8+Avenue!G8</f>
        <v>0</v>
      </c>
      <c r="H8" s="49">
        <f t="shared" si="18"/>
        <v>0</v>
      </c>
      <c r="I8" s="23">
        <f>Markaz!I8+Avenue!I8</f>
        <v>0</v>
      </c>
      <c r="J8" s="49">
        <f>I8/I$5</f>
        <v>0</v>
      </c>
      <c r="K8" s="23">
        <f>Markaz!K8+Avenue!K8</f>
        <v>0</v>
      </c>
      <c r="L8" s="49">
        <f t="shared" si="4"/>
        <v>0</v>
      </c>
      <c r="M8" s="23">
        <f>Markaz!M8+Avenue!M8</f>
        <v>0</v>
      </c>
      <c r="N8" s="49">
        <f t="shared" si="5"/>
        <v>0</v>
      </c>
      <c r="O8" s="23">
        <f>Markaz!O8+Avenue!O8</f>
        <v>0</v>
      </c>
      <c r="P8" s="49">
        <f t="shared" si="6"/>
        <v>0</v>
      </c>
      <c r="Q8" s="23">
        <f>Markaz!Q8+Avenue!Q8</f>
        <v>0</v>
      </c>
      <c r="R8" s="49">
        <f t="shared" si="7"/>
        <v>0</v>
      </c>
      <c r="S8" s="23">
        <f>Markaz!S8+Avenue!S8</f>
        <v>0</v>
      </c>
      <c r="T8" s="49">
        <f t="shared" si="8"/>
        <v>0</v>
      </c>
      <c r="U8" s="23">
        <f>Markaz!U8+Avenue!U8</f>
        <v>0</v>
      </c>
      <c r="V8" s="49">
        <f t="shared" si="9"/>
        <v>0</v>
      </c>
      <c r="W8" s="23">
        <f>Markaz!W8+Avenue!W8</f>
        <v>0</v>
      </c>
      <c r="X8" s="49">
        <f t="shared" si="10"/>
        <v>0</v>
      </c>
      <c r="Y8" s="23">
        <f>Markaz!Y8+Avenue!Y8</f>
        <v>0</v>
      </c>
      <c r="Z8" s="168">
        <f t="shared" si="11"/>
        <v>0</v>
      </c>
      <c r="AA8" s="275">
        <f t="shared" si="12"/>
        <v>0</v>
      </c>
      <c r="AB8" s="203">
        <f t="shared" si="13"/>
        <v>0</v>
      </c>
      <c r="AC8" s="204">
        <f>AA8/12</f>
        <v>0</v>
      </c>
      <c r="AD8" s="203">
        <f t="shared" si="15"/>
        <v>0</v>
      </c>
      <c r="AE8" s="75"/>
      <c r="AF8" s="158"/>
      <c r="AG8" s="75"/>
      <c r="AH8" s="204">
        <v>0</v>
      </c>
      <c r="AI8" s="244">
        <f t="shared" si="16"/>
        <v>0</v>
      </c>
      <c r="AJ8" s="282">
        <f t="shared" si="0"/>
        <v>0</v>
      </c>
      <c r="AK8" s="53">
        <f t="shared" si="1"/>
        <v>0</v>
      </c>
      <c r="AL8" s="53">
        <f t="shared" si="17"/>
        <v>0</v>
      </c>
      <c r="AM8" s="53">
        <f>G8*9.4+I8*9.4+K8*9.4+M8*9.4+O8*9.4+Q8*9.4+S8*9.4+U8*9.4+W8*9.4+Y8*9.4</f>
        <v>0</v>
      </c>
      <c r="AN8" s="53" t="e">
        <f>#REF!-AM8</f>
        <v>#REF!</v>
      </c>
      <c r="AO8" s="53">
        <v>258.7</v>
      </c>
    </row>
    <row r="9" spans="1:43">
      <c r="A9" s="1">
        <v>5101</v>
      </c>
      <c r="B9" s="15" t="s">
        <v>47</v>
      </c>
      <c r="C9" s="130">
        <f>Markaz!C9+Avenue!C9</f>
        <v>60133.885177945776</v>
      </c>
      <c r="D9" s="49">
        <f t="shared" si="2"/>
        <v>0.18699189008793651</v>
      </c>
      <c r="E9" s="130">
        <f>Markaz!E9+Avenue!E9</f>
        <v>30511.467842880607</v>
      </c>
      <c r="F9" s="49">
        <f t="shared" si="3"/>
        <v>0.13043478582472676</v>
      </c>
      <c r="G9" s="130">
        <f>Markaz!G9+Avenue!G9</f>
        <v>94475.246582022621</v>
      </c>
      <c r="H9" s="49">
        <f t="shared" si="18"/>
        <v>0.21875000000000003</v>
      </c>
      <c r="I9" s="130">
        <f>Markaz!I9+Avenue!I9</f>
        <v>68524.47583813699</v>
      </c>
      <c r="J9" s="49">
        <f t="shared" si="18"/>
        <v>0.18699187092508909</v>
      </c>
      <c r="K9" s="130">
        <f>Markaz!K9+Avenue!K9</f>
        <v>43598.340036389774</v>
      </c>
      <c r="L9" s="49">
        <f t="shared" si="4"/>
        <v>0.13793103448275865</v>
      </c>
      <c r="M9" s="130">
        <f>Markaz!M9+Avenue!M9</f>
        <v>100460.49413229202</v>
      </c>
      <c r="N9" s="49">
        <f t="shared" si="5"/>
        <v>0.20634920774920557</v>
      </c>
      <c r="O9" s="130">
        <f>Markaz!O9+Avenue!O9</f>
        <v>56263.834736876393</v>
      </c>
      <c r="P9" s="49">
        <f t="shared" si="6"/>
        <v>0.18699186991869959</v>
      </c>
      <c r="Q9" s="130">
        <f>Markaz!Q9+Avenue!Q9</f>
        <v>72902.608774995329</v>
      </c>
      <c r="R9" s="49">
        <f t="shared" si="7"/>
        <v>0.19354838709677413</v>
      </c>
      <c r="S9" s="130">
        <f>Markaz!S9+Avenue!S9</f>
        <v>55080.432922812295</v>
      </c>
      <c r="T9" s="49">
        <f t="shared" si="8"/>
        <v>0.15254237288135636</v>
      </c>
      <c r="U9" s="130">
        <f>Markaz!U9+Avenue!U9</f>
        <v>80098.624886808029</v>
      </c>
      <c r="V9" s="49">
        <f t="shared" si="9"/>
        <v>0.24812030075187977</v>
      </c>
      <c r="W9" s="130">
        <f>Markaz!W9+Avenue!W9</f>
        <v>29634.788145911683</v>
      </c>
      <c r="X9" s="49">
        <f t="shared" si="10"/>
        <v>0.10714285714285728</v>
      </c>
      <c r="Y9" s="130">
        <f>Markaz!Y9+Avenue!Y9</f>
        <v>96997.749888612074</v>
      </c>
      <c r="Z9" s="168">
        <f t="shared" si="11"/>
        <v>0.20634920634920595</v>
      </c>
      <c r="AA9" s="275">
        <f t="shared" si="12"/>
        <v>788681.94896568346</v>
      </c>
      <c r="AB9" s="203">
        <f t="shared" si="13"/>
        <v>0.18492389364313708</v>
      </c>
      <c r="AC9" s="194">
        <f t="shared" si="14"/>
        <v>65723.495747140289</v>
      </c>
      <c r="AD9" s="203">
        <f t="shared" si="15"/>
        <v>0.18492389364313708</v>
      </c>
      <c r="AE9" s="75"/>
      <c r="AF9" s="158"/>
      <c r="AG9" s="75"/>
      <c r="AH9" s="194">
        <f>AH5*0.9%</f>
        <v>7440.5250000000005</v>
      </c>
      <c r="AI9" s="244">
        <f t="shared" si="16"/>
        <v>9.0000000000000011E-3</v>
      </c>
      <c r="AJ9" s="282">
        <f t="shared" si="0"/>
        <v>861845.96971282375</v>
      </c>
      <c r="AK9" s="53">
        <f t="shared" si="1"/>
        <v>0</v>
      </c>
      <c r="AL9" s="53">
        <f t="shared" si="17"/>
        <v>788681.94896568346</v>
      </c>
      <c r="AM9" s="53">
        <f>G9*9.4+I9*9.4+K9*9.4+M9*9.4+O9*9.4+Q9*9.4+S9*9.4+U9*9.4+W9*9.4+Y9*9.4</f>
        <v>6561544.0018816581</v>
      </c>
      <c r="AN9" s="53" t="e">
        <f>#REF!-AM9</f>
        <v>#REF!</v>
      </c>
      <c r="AO9" s="53"/>
    </row>
    <row r="10" spans="1:43">
      <c r="A10" s="1">
        <v>5102</v>
      </c>
      <c r="B10" s="1" t="s">
        <v>177</v>
      </c>
      <c r="C10" s="130">
        <f>Markaz!C10+Avenue!C10</f>
        <v>0</v>
      </c>
      <c r="D10" s="49">
        <f t="shared" si="2"/>
        <v>0</v>
      </c>
      <c r="E10" s="130">
        <f>Markaz!E10+Avenue!E10</f>
        <v>0</v>
      </c>
      <c r="F10" s="49">
        <f t="shared" si="3"/>
        <v>0</v>
      </c>
      <c r="G10" s="130">
        <f>Markaz!G10+Avenue!G10</f>
        <v>0</v>
      </c>
      <c r="H10" s="49">
        <f t="shared" si="18"/>
        <v>0</v>
      </c>
      <c r="I10" s="130">
        <f>Markaz!I10+Avenue!I10</f>
        <v>0</v>
      </c>
      <c r="J10" s="49">
        <f t="shared" si="18"/>
        <v>0</v>
      </c>
      <c r="K10" s="130">
        <f>Markaz!K10+Avenue!K10</f>
        <v>0</v>
      </c>
      <c r="L10" s="49">
        <f t="shared" si="4"/>
        <v>0</v>
      </c>
      <c r="M10" s="130">
        <f>Markaz!M10+Avenue!M10</f>
        <v>0</v>
      </c>
      <c r="N10" s="49">
        <f t="shared" si="5"/>
        <v>0</v>
      </c>
      <c r="O10" s="130">
        <f>Markaz!O10+Avenue!O10</f>
        <v>0</v>
      </c>
      <c r="P10" s="49">
        <f t="shared" si="6"/>
        <v>0</v>
      </c>
      <c r="Q10" s="130">
        <f>Markaz!Q10+Avenue!Q10</f>
        <v>0</v>
      </c>
      <c r="R10" s="49">
        <f t="shared" si="7"/>
        <v>0</v>
      </c>
      <c r="S10" s="130">
        <f>Markaz!S10+Avenue!S10</f>
        <v>0</v>
      </c>
      <c r="T10" s="49">
        <f t="shared" si="8"/>
        <v>0</v>
      </c>
      <c r="U10" s="130">
        <f>Markaz!U10+Avenue!U10</f>
        <v>0</v>
      </c>
      <c r="V10" s="49">
        <f t="shared" si="9"/>
        <v>0</v>
      </c>
      <c r="W10" s="130">
        <f>Markaz!W10+Avenue!W10</f>
        <v>0</v>
      </c>
      <c r="X10" s="49">
        <f t="shared" si="10"/>
        <v>0</v>
      </c>
      <c r="Y10" s="130">
        <f>Markaz!Y10+Avenue!Y10</f>
        <v>0</v>
      </c>
      <c r="Z10" s="168">
        <f t="shared" si="11"/>
        <v>0</v>
      </c>
      <c r="AA10" s="275">
        <f t="shared" si="12"/>
        <v>0</v>
      </c>
      <c r="AB10" s="203">
        <f t="shared" si="13"/>
        <v>0</v>
      </c>
      <c r="AC10" s="204">
        <f t="shared" si="14"/>
        <v>0</v>
      </c>
      <c r="AD10" s="203">
        <f t="shared" si="15"/>
        <v>0</v>
      </c>
      <c r="AE10" s="75"/>
      <c r="AF10" s="158"/>
      <c r="AG10" s="75"/>
      <c r="AH10" s="204">
        <f>AH5*1.7%</f>
        <v>14054.325000000001</v>
      </c>
      <c r="AI10" s="244">
        <f t="shared" si="16"/>
        <v>1.7000000000000001E-2</v>
      </c>
      <c r="AJ10" s="282">
        <f t="shared" si="0"/>
        <v>14054.325000000001</v>
      </c>
      <c r="AK10" s="53">
        <f t="shared" si="1"/>
        <v>0</v>
      </c>
      <c r="AL10" s="53">
        <f t="shared" si="17"/>
        <v>0</v>
      </c>
      <c r="AM10" s="53"/>
      <c r="AN10" s="53"/>
      <c r="AO10" s="53"/>
    </row>
    <row r="11" spans="1:43">
      <c r="A11" s="1">
        <v>5103</v>
      </c>
      <c r="B11" s="15" t="s">
        <v>64</v>
      </c>
      <c r="C11" s="130">
        <f>Markaz!C11+Avenue!C11</f>
        <v>0</v>
      </c>
      <c r="D11" s="49">
        <f t="shared" si="2"/>
        <v>0</v>
      </c>
      <c r="E11" s="130">
        <f>Markaz!E11+Avenue!E11</f>
        <v>0</v>
      </c>
      <c r="F11" s="49">
        <f t="shared" si="3"/>
        <v>0</v>
      </c>
      <c r="G11" s="130">
        <f>Markaz!G11+Avenue!G11</f>
        <v>0</v>
      </c>
      <c r="H11" s="49">
        <f t="shared" si="18"/>
        <v>0</v>
      </c>
      <c r="I11" s="130">
        <f>Markaz!I11+Avenue!I11</f>
        <v>0</v>
      </c>
      <c r="J11" s="49">
        <f t="shared" si="18"/>
        <v>0</v>
      </c>
      <c r="K11" s="130">
        <f>Markaz!K11+Avenue!K11</f>
        <v>0</v>
      </c>
      <c r="L11" s="49">
        <f t="shared" si="4"/>
        <v>0</v>
      </c>
      <c r="M11" s="130">
        <f>Markaz!M11+Avenue!M11</f>
        <v>0</v>
      </c>
      <c r="N11" s="49">
        <f t="shared" si="5"/>
        <v>0</v>
      </c>
      <c r="O11" s="130">
        <f>Markaz!O11+Avenue!O11</f>
        <v>0</v>
      </c>
      <c r="P11" s="49">
        <f t="shared" si="6"/>
        <v>0</v>
      </c>
      <c r="Q11" s="130">
        <f>Markaz!Q11+Avenue!Q11</f>
        <v>0</v>
      </c>
      <c r="R11" s="49">
        <f t="shared" si="7"/>
        <v>0</v>
      </c>
      <c r="S11" s="130">
        <f>Markaz!S11+Avenue!S11</f>
        <v>0</v>
      </c>
      <c r="T11" s="49">
        <f t="shared" si="8"/>
        <v>0</v>
      </c>
      <c r="U11" s="130">
        <f>Markaz!U11+Avenue!U11</f>
        <v>0</v>
      </c>
      <c r="V11" s="49">
        <f t="shared" si="9"/>
        <v>0</v>
      </c>
      <c r="W11" s="130">
        <f>Markaz!W11+Avenue!W11</f>
        <v>0</v>
      </c>
      <c r="X11" s="49">
        <f t="shared" si="10"/>
        <v>0</v>
      </c>
      <c r="Y11" s="130">
        <f>Markaz!Y11+Avenue!Y11</f>
        <v>0</v>
      </c>
      <c r="Z11" s="168">
        <f t="shared" si="11"/>
        <v>0</v>
      </c>
      <c r="AA11" s="275">
        <f t="shared" si="12"/>
        <v>0</v>
      </c>
      <c r="AB11" s="203">
        <f t="shared" si="13"/>
        <v>0</v>
      </c>
      <c r="AC11" s="204">
        <f t="shared" si="14"/>
        <v>0</v>
      </c>
      <c r="AD11" s="203">
        <f t="shared" si="15"/>
        <v>0</v>
      </c>
      <c r="AE11" s="75"/>
      <c r="AF11" s="158"/>
      <c r="AG11" s="75"/>
      <c r="AH11" s="204">
        <v>0</v>
      </c>
      <c r="AI11" s="244">
        <f t="shared" si="16"/>
        <v>0</v>
      </c>
      <c r="AJ11" s="282">
        <f t="shared" si="0"/>
        <v>0</v>
      </c>
      <c r="AK11" s="53">
        <f t="shared" si="1"/>
        <v>0</v>
      </c>
      <c r="AL11" s="53">
        <f t="shared" si="17"/>
        <v>0</v>
      </c>
      <c r="AM11" s="53">
        <f t="shared" ref="AM11:AM42" si="19">G11*9.4+I11*9.4+K11*9.4+M11*9.4+O11*9.4+Q11*9.4+S11*9.4+U11*9.4+W11*9.4+Y11*9.4</f>
        <v>0</v>
      </c>
      <c r="AN11" s="53" t="e">
        <f>#REF!-AM11</f>
        <v>#REF!</v>
      </c>
      <c r="AO11" s="53"/>
    </row>
    <row r="12" spans="1:43" ht="15.75" thickBot="1">
      <c r="A12" s="6">
        <v>5149</v>
      </c>
      <c r="B12" s="116" t="s">
        <v>67</v>
      </c>
      <c r="C12" s="55">
        <f>Markaz!C12+Avenue!C12</f>
        <v>261451.64</v>
      </c>
      <c r="D12" s="88">
        <v>1</v>
      </c>
      <c r="E12" s="55">
        <f>Markaz!E12+Avenue!E12</f>
        <v>203409.779851586</v>
      </c>
      <c r="F12" s="88">
        <v>1</v>
      </c>
      <c r="G12" s="55">
        <f>Markaz!G12+Avenue!G12</f>
        <v>337411.594935795</v>
      </c>
      <c r="H12" s="88">
        <v>1</v>
      </c>
      <c r="I12" s="55">
        <f>Markaz!I12+Avenue!I12</f>
        <v>297932.50167180307</v>
      </c>
      <c r="J12" s="88">
        <v>1</v>
      </c>
      <c r="K12" s="55">
        <f>Markaz!K12+Avenue!K12</f>
        <v>272489.62522743602</v>
      </c>
      <c r="L12" s="88">
        <v>1</v>
      </c>
      <c r="M12" s="55">
        <f>Markaz!M12+Avenue!M12</f>
        <v>386386.51259036304</v>
      </c>
      <c r="N12" s="88">
        <v>1</v>
      </c>
      <c r="O12" s="55">
        <f>Markaz!O12+Avenue!O12</f>
        <v>244625.36842120101</v>
      </c>
      <c r="P12" s="88">
        <v>1</v>
      </c>
      <c r="Q12" s="55">
        <f>Markaz!Q12+Avenue!Q12</f>
        <v>303760.86989581399</v>
      </c>
      <c r="R12" s="88">
        <v>1</v>
      </c>
      <c r="S12" s="55">
        <f>Markaz!S12+Avenue!S12</f>
        <v>306002.405126734</v>
      </c>
      <c r="T12" s="88">
        <v>1</v>
      </c>
      <c r="U12" s="55">
        <f>Markaz!U12+Avenue!U12</f>
        <v>242723.10571759997</v>
      </c>
      <c r="V12" s="88">
        <v>1</v>
      </c>
      <c r="W12" s="55">
        <f>Markaz!W12+Avenue!W12</f>
        <v>246956.56788259698</v>
      </c>
      <c r="X12" s="88">
        <v>1</v>
      </c>
      <c r="Y12" s="55">
        <f>Markaz!Y12+Avenue!Y12</f>
        <v>373068.26880235504</v>
      </c>
      <c r="Z12" s="209">
        <v>1</v>
      </c>
      <c r="AA12" s="200">
        <f>AA5+AA6-AA7-AA8-AA9-AA10+AA11</f>
        <v>3476218.240123284</v>
      </c>
      <c r="AB12" s="228">
        <v>1</v>
      </c>
      <c r="AC12" s="199">
        <f t="shared" si="14"/>
        <v>289684.85334360698</v>
      </c>
      <c r="AD12" s="228">
        <v>1</v>
      </c>
      <c r="AE12" s="158" t="s">
        <v>136</v>
      </c>
      <c r="AF12" s="158"/>
      <c r="AG12" s="75" t="s">
        <v>170</v>
      </c>
      <c r="AH12" s="199">
        <f>AH5+AH6-AH7-AH8-AH9-AH10+AH11</f>
        <v>805230.15</v>
      </c>
      <c r="AI12" s="245">
        <v>1</v>
      </c>
      <c r="AJ12" s="286">
        <f t="shared" si="0"/>
        <v>4571133.2434668913</v>
      </c>
      <c r="AK12" s="53">
        <f t="shared" si="1"/>
        <v>0</v>
      </c>
      <c r="AL12" s="53">
        <f t="shared" si="17"/>
        <v>3476218.2401232845</v>
      </c>
      <c r="AM12" s="53">
        <f t="shared" si="19"/>
        <v>28306754.110553965</v>
      </c>
      <c r="AN12" s="53" t="e">
        <f>#REF!-AM12</f>
        <v>#REF!</v>
      </c>
      <c r="AO12" s="53"/>
    </row>
    <row r="13" spans="1:43" ht="15.75" thickTop="1">
      <c r="A13" s="1">
        <v>5151</v>
      </c>
      <c r="B13" s="15" t="s">
        <v>48</v>
      </c>
      <c r="C13" s="130">
        <f>Markaz!C13+Avenue!C13</f>
        <v>0</v>
      </c>
      <c r="D13" s="70"/>
      <c r="E13" s="130">
        <f>Markaz!E13+Avenue!E13</f>
        <v>0</v>
      </c>
      <c r="F13" s="70"/>
      <c r="G13" s="130">
        <f>Markaz!G13+Avenue!G13</f>
        <v>0</v>
      </c>
      <c r="H13" s="70"/>
      <c r="I13" s="130">
        <f>Markaz!I13+Avenue!I13</f>
        <v>0</v>
      </c>
      <c r="J13" s="70"/>
      <c r="K13" s="130">
        <f>Markaz!K13+Avenue!K13</f>
        <v>0</v>
      </c>
      <c r="L13" s="70"/>
      <c r="M13" s="130">
        <f>Markaz!M13+Avenue!M13</f>
        <v>0</v>
      </c>
      <c r="N13" s="70"/>
      <c r="O13" s="130">
        <f>Markaz!O13+Avenue!O13</f>
        <v>0</v>
      </c>
      <c r="P13" s="70"/>
      <c r="Q13" s="130">
        <f>Markaz!Q13+Avenue!Q13</f>
        <v>0</v>
      </c>
      <c r="R13" s="70"/>
      <c r="S13" s="130">
        <f>Markaz!S13+Avenue!S13</f>
        <v>0</v>
      </c>
      <c r="T13" s="70"/>
      <c r="U13" s="130">
        <f>Markaz!U13+Avenue!U13</f>
        <v>0</v>
      </c>
      <c r="V13" s="70"/>
      <c r="W13" s="130">
        <f>Markaz!W13+Avenue!W13</f>
        <v>0</v>
      </c>
      <c r="X13" s="70"/>
      <c r="Y13" s="130">
        <f>Markaz!Y13+Avenue!Y13</f>
        <v>0</v>
      </c>
      <c r="AA13" s="275">
        <f>C13+E13+G13+I13+K13+M13+O13+Q13+S13+U13+W13+Y13</f>
        <v>0</v>
      </c>
      <c r="AB13" s="202"/>
      <c r="AC13" s="194">
        <f t="shared" si="14"/>
        <v>0</v>
      </c>
      <c r="AD13" s="202"/>
      <c r="AE13" s="75"/>
      <c r="AF13" s="158"/>
      <c r="AG13" s="75"/>
      <c r="AH13" s="194">
        <v>0</v>
      </c>
      <c r="AI13" s="243"/>
      <c r="AJ13" s="282">
        <f t="shared" si="0"/>
        <v>0</v>
      </c>
      <c r="AK13" s="53">
        <f t="shared" si="1"/>
        <v>0</v>
      </c>
      <c r="AL13" s="53">
        <f t="shared" si="17"/>
        <v>0</v>
      </c>
      <c r="AM13" s="53">
        <f t="shared" si="19"/>
        <v>0</v>
      </c>
      <c r="AN13" s="53" t="e">
        <f>#REF!-AM13</f>
        <v>#REF!</v>
      </c>
      <c r="AO13" s="53"/>
    </row>
    <row r="14" spans="1:43">
      <c r="A14" s="1">
        <v>5152</v>
      </c>
      <c r="B14" s="15" t="s">
        <v>49</v>
      </c>
      <c r="C14" s="130">
        <f>Markaz!C14+Avenue!C14</f>
        <v>0</v>
      </c>
      <c r="D14" s="70"/>
      <c r="E14" s="130">
        <f>Markaz!E14+Avenue!E14</f>
        <v>0</v>
      </c>
      <c r="F14" s="70"/>
      <c r="G14" s="130">
        <f>Markaz!G14+Avenue!G14</f>
        <v>0</v>
      </c>
      <c r="H14" s="70"/>
      <c r="I14" s="130">
        <f>Markaz!I14+Avenue!I14</f>
        <v>0</v>
      </c>
      <c r="J14" s="70"/>
      <c r="K14" s="130">
        <f>Markaz!K14+Avenue!K14</f>
        <v>0</v>
      </c>
      <c r="L14" s="70"/>
      <c r="M14" s="130">
        <f>Markaz!M14+Avenue!M14</f>
        <v>0</v>
      </c>
      <c r="N14" s="70"/>
      <c r="O14" s="130">
        <f>Markaz!O14+Avenue!O14</f>
        <v>0</v>
      </c>
      <c r="P14" s="70"/>
      <c r="Q14" s="130">
        <f>Markaz!Q14+Avenue!Q14</f>
        <v>0</v>
      </c>
      <c r="R14" s="70"/>
      <c r="S14" s="130">
        <f>Markaz!S14+Avenue!S14</f>
        <v>0</v>
      </c>
      <c r="T14" s="70"/>
      <c r="U14" s="130">
        <f>Markaz!U14+Avenue!U14</f>
        <v>0</v>
      </c>
      <c r="V14" s="70"/>
      <c r="W14" s="130">
        <f>Markaz!W14+Avenue!W14</f>
        <v>0</v>
      </c>
      <c r="X14" s="70"/>
      <c r="Y14" s="130">
        <f>Markaz!Y14+Avenue!Y14</f>
        <v>0</v>
      </c>
      <c r="AA14" s="275">
        <f>C14+E14+G14+I14+K14+M14+O14+Q14+S14+U14+W14+Y14</f>
        <v>0</v>
      </c>
      <c r="AB14" s="202"/>
      <c r="AC14" s="194">
        <f t="shared" si="14"/>
        <v>0</v>
      </c>
      <c r="AD14" s="202"/>
      <c r="AE14" s="75"/>
      <c r="AF14" s="158"/>
      <c r="AG14" s="75"/>
      <c r="AH14" s="194">
        <v>0</v>
      </c>
      <c r="AI14" s="243"/>
      <c r="AJ14" s="282">
        <f t="shared" si="0"/>
        <v>0</v>
      </c>
      <c r="AK14" s="53">
        <f t="shared" si="1"/>
        <v>0</v>
      </c>
      <c r="AL14" s="53">
        <f t="shared" si="17"/>
        <v>0</v>
      </c>
      <c r="AM14" s="53">
        <f t="shared" si="19"/>
        <v>0</v>
      </c>
      <c r="AN14" s="53" t="e">
        <f>#REF!-AM14</f>
        <v>#REF!</v>
      </c>
      <c r="AO14" s="53"/>
    </row>
    <row r="15" spans="1:43" ht="15.75" thickBot="1">
      <c r="A15" s="35">
        <v>5198</v>
      </c>
      <c r="B15" s="117" t="s">
        <v>93</v>
      </c>
      <c r="C15" s="132">
        <f>Markaz!C15+Avenue!C15</f>
        <v>0</v>
      </c>
      <c r="D15" s="71"/>
      <c r="E15" s="132">
        <f>Markaz!E15+Avenue!E15</f>
        <v>0</v>
      </c>
      <c r="F15" s="71"/>
      <c r="G15" s="132">
        <f>Markaz!G15+Avenue!G15</f>
        <v>0</v>
      </c>
      <c r="H15" s="71"/>
      <c r="I15" s="132">
        <f>Markaz!I15+Avenue!I15</f>
        <v>0</v>
      </c>
      <c r="J15" s="71"/>
      <c r="K15" s="132">
        <f>Markaz!K15+Avenue!K15</f>
        <v>0</v>
      </c>
      <c r="L15" s="71"/>
      <c r="M15" s="132">
        <f>Markaz!M15+Avenue!M15</f>
        <v>0</v>
      </c>
      <c r="N15" s="71"/>
      <c r="O15" s="132">
        <f>Markaz!O15+Avenue!O15</f>
        <v>0</v>
      </c>
      <c r="P15" s="71"/>
      <c r="Q15" s="132">
        <f>Markaz!Q15+Avenue!Q15</f>
        <v>0</v>
      </c>
      <c r="R15" s="71"/>
      <c r="S15" s="132">
        <f>Markaz!S15+Avenue!S15</f>
        <v>0</v>
      </c>
      <c r="T15" s="71"/>
      <c r="U15" s="132">
        <f>Markaz!U15+Avenue!U15</f>
        <v>0</v>
      </c>
      <c r="V15" s="71"/>
      <c r="W15" s="132">
        <f>Markaz!W15+Avenue!W15</f>
        <v>0</v>
      </c>
      <c r="X15" s="71"/>
      <c r="Y15" s="132">
        <f>Markaz!Y15+Avenue!Y15</f>
        <v>0</v>
      </c>
      <c r="Z15" s="210"/>
      <c r="AA15" s="276">
        <f>AA13+AA14</f>
        <v>0</v>
      </c>
      <c r="AB15" s="230"/>
      <c r="AC15" s="231">
        <f t="shared" si="14"/>
        <v>0</v>
      </c>
      <c r="AD15" s="230"/>
      <c r="AE15" s="75"/>
      <c r="AF15" s="158"/>
      <c r="AG15" s="75"/>
      <c r="AH15" s="231">
        <v>0</v>
      </c>
      <c r="AI15" s="246"/>
      <c r="AJ15" s="282">
        <f t="shared" si="0"/>
        <v>0</v>
      </c>
      <c r="AK15" s="53">
        <f t="shared" si="1"/>
        <v>0</v>
      </c>
      <c r="AL15" s="53">
        <f t="shared" si="17"/>
        <v>0</v>
      </c>
      <c r="AM15" s="53">
        <f t="shared" si="19"/>
        <v>0</v>
      </c>
      <c r="AN15" s="53" t="e">
        <f>#REF!-AM15</f>
        <v>#REF!</v>
      </c>
      <c r="AO15" s="53"/>
    </row>
    <row r="16" spans="1:43" ht="16.5" thickTop="1" thickBot="1">
      <c r="A16" s="37">
        <v>5199</v>
      </c>
      <c r="B16" s="118" t="s">
        <v>71</v>
      </c>
      <c r="C16" s="133">
        <f>Markaz!C16+Avenue!C16</f>
        <v>261451.64</v>
      </c>
      <c r="D16" s="39">
        <f>C16/C12</f>
        <v>1</v>
      </c>
      <c r="E16" s="133">
        <f>Markaz!E16+Avenue!E16</f>
        <v>203409.779851586</v>
      </c>
      <c r="F16" s="39">
        <f>E16/E12</f>
        <v>1</v>
      </c>
      <c r="G16" s="133">
        <f>Markaz!G16+Avenue!G16</f>
        <v>337411.594935795</v>
      </c>
      <c r="H16" s="39">
        <f>G16/G12</f>
        <v>1</v>
      </c>
      <c r="I16" s="133">
        <f>Markaz!I16+Avenue!I16</f>
        <v>297932.50167180307</v>
      </c>
      <c r="J16" s="39">
        <f>I16/I12</f>
        <v>1</v>
      </c>
      <c r="K16" s="133">
        <f>Markaz!K16+Avenue!K16</f>
        <v>272489.62522743602</v>
      </c>
      <c r="L16" s="39">
        <f>K16/K12</f>
        <v>1</v>
      </c>
      <c r="M16" s="133">
        <f>Markaz!M16+Avenue!M16</f>
        <v>386386.51259036304</v>
      </c>
      <c r="N16" s="39">
        <f>M16/M12</f>
        <v>1</v>
      </c>
      <c r="O16" s="133">
        <f>Markaz!O16+Avenue!O16</f>
        <v>244625.36842120101</v>
      </c>
      <c r="P16" s="39">
        <f>O16/O12</f>
        <v>1</v>
      </c>
      <c r="Q16" s="133">
        <f>Markaz!Q16+Avenue!Q16</f>
        <v>303760.86989581399</v>
      </c>
      <c r="R16" s="39">
        <f>Q16/Q12</f>
        <v>1</v>
      </c>
      <c r="S16" s="133">
        <f>Markaz!S16+Avenue!S16</f>
        <v>306002.405126734</v>
      </c>
      <c r="T16" s="39">
        <f>S16/S12</f>
        <v>1</v>
      </c>
      <c r="U16" s="133">
        <f>Markaz!U16+Avenue!U16</f>
        <v>242723.10571759997</v>
      </c>
      <c r="V16" s="39">
        <f>U16/U12</f>
        <v>1</v>
      </c>
      <c r="W16" s="133">
        <f>Markaz!W16+Avenue!W16</f>
        <v>246956.56788259698</v>
      </c>
      <c r="X16" s="39">
        <f>W16/W12</f>
        <v>1</v>
      </c>
      <c r="Y16" s="133">
        <f>Markaz!Y16+Avenue!Y16</f>
        <v>373068.26880235504</v>
      </c>
      <c r="Z16" s="211">
        <f>Y16/Y12</f>
        <v>1</v>
      </c>
      <c r="AA16" s="277">
        <f>AA12+AA15</f>
        <v>3476218.240123284</v>
      </c>
      <c r="AB16" s="233">
        <f>AA16/AA12</f>
        <v>1</v>
      </c>
      <c r="AC16" s="232">
        <f t="shared" si="14"/>
        <v>289684.85334360698</v>
      </c>
      <c r="AD16" s="233">
        <f>AC16/AC12</f>
        <v>1</v>
      </c>
      <c r="AE16" s="75"/>
      <c r="AF16" s="158"/>
      <c r="AG16" s="75"/>
      <c r="AH16" s="232">
        <f>AH12+AH15</f>
        <v>805230.15</v>
      </c>
      <c r="AI16" s="247">
        <f>AH16/AH12</f>
        <v>1</v>
      </c>
      <c r="AJ16" s="287">
        <f t="shared" si="0"/>
        <v>4571133.2434668913</v>
      </c>
      <c r="AK16" s="53">
        <f t="shared" si="1"/>
        <v>0</v>
      </c>
      <c r="AL16" s="53">
        <f t="shared" si="17"/>
        <v>3476218.2401232845</v>
      </c>
      <c r="AM16" s="53">
        <f t="shared" si="19"/>
        <v>28306754.110553965</v>
      </c>
      <c r="AN16" s="53" t="e">
        <f>#REF!-AM16</f>
        <v>#REF!</v>
      </c>
      <c r="AO16" s="53"/>
    </row>
    <row r="17" spans="1:43" ht="15.75" thickTop="1">
      <c r="A17" s="12">
        <v>5502</v>
      </c>
      <c r="B17" s="14" t="s">
        <v>50</v>
      </c>
      <c r="C17" s="61">
        <f>Markaz!C17+Avenue!C17</f>
        <v>134020.11066399998</v>
      </c>
      <c r="D17" s="49">
        <f>C17/C12</f>
        <v>0.51259999999999983</v>
      </c>
      <c r="E17" s="61">
        <f>Markaz!E17+Avenue!E17</f>
        <v>91483.26512725465</v>
      </c>
      <c r="F17" s="49">
        <f>E17/E12</f>
        <v>0.44974860694507235</v>
      </c>
      <c r="G17" s="61">
        <f>Markaz!G17+Avenue!G17</f>
        <v>166984.99833372494</v>
      </c>
      <c r="H17" s="49">
        <f>G17/G12</f>
        <v>0.49490000000000001</v>
      </c>
      <c r="I17" s="61">
        <f>Markaz!I17+Avenue!I17</f>
        <v>138160.95530682523</v>
      </c>
      <c r="J17" s="49">
        <f>I17/I12</f>
        <v>0.46373240425786366</v>
      </c>
      <c r="K17" s="61">
        <f>Markaz!K17+Avenue!K17</f>
        <v>119876.954206669</v>
      </c>
      <c r="L17" s="49">
        <f>K17/K12</f>
        <v>0.43993217762552456</v>
      </c>
      <c r="M17" s="61">
        <f>Markaz!M17+Avenue!M17</f>
        <v>200759.93875891046</v>
      </c>
      <c r="N17" s="49">
        <f>M17/M12</f>
        <v>0.51958319510948081</v>
      </c>
      <c r="O17" s="61">
        <f>Markaz!O17+Avenue!O17</f>
        <v>108391.34384320084</v>
      </c>
      <c r="P17" s="49">
        <f>O17/O12</f>
        <v>0.4430911828268374</v>
      </c>
      <c r="Q17" s="61">
        <f>Markaz!Q17+Avenue!Q17</f>
        <v>136374.98787433314</v>
      </c>
      <c r="R17" s="49">
        <f>Q17/Q12</f>
        <v>0.44895508733928757</v>
      </c>
      <c r="S17" s="61">
        <f>Markaz!S17+Avenue!S17</f>
        <v>138170.85536653406</v>
      </c>
      <c r="T17" s="49">
        <f>S17/S12</f>
        <v>0.45153519401035164</v>
      </c>
      <c r="U17" s="61">
        <f>Markaz!U17+Avenue!U17</f>
        <v>119500.32204754269</v>
      </c>
      <c r="V17" s="49">
        <f>U17/U12</f>
        <v>0.49233187625152269</v>
      </c>
      <c r="W17" s="61">
        <f>Markaz!W17+Avenue!W17</f>
        <v>113574.67417588798</v>
      </c>
      <c r="X17" s="49">
        <f>W17/W12</f>
        <v>0.45989736231628114</v>
      </c>
      <c r="Y17" s="61">
        <f>Markaz!Y17+Avenue!Y17</f>
        <v>193877.30991916457</v>
      </c>
      <c r="Z17" s="168">
        <f>Y17/Y12</f>
        <v>0.51968319509338201</v>
      </c>
      <c r="AA17" s="275">
        <f>C17+E17+G17+I17+K17+M17+O17+Q17+S17+U17+W17+Y17</f>
        <v>1661175.7156240477</v>
      </c>
      <c r="AB17" s="203">
        <f>AA17/AA12</f>
        <v>0.47786864945658131</v>
      </c>
      <c r="AC17" s="205">
        <f t="shared" si="14"/>
        <v>138431.3096353373</v>
      </c>
      <c r="AD17" s="203">
        <f>AC17/AC12</f>
        <v>0.47786864945658131</v>
      </c>
      <c r="AE17" s="75" t="s">
        <v>137</v>
      </c>
      <c r="AF17" s="160">
        <v>0.50339999999999996</v>
      </c>
      <c r="AG17" s="75" t="s">
        <v>170</v>
      </c>
      <c r="AH17" s="205">
        <f>AH12*50%</f>
        <v>402615.07500000001</v>
      </c>
      <c r="AI17" s="244">
        <f>AH17/AH12</f>
        <v>0.5</v>
      </c>
      <c r="AJ17" s="282">
        <f t="shared" si="0"/>
        <v>2202222.1002593851</v>
      </c>
      <c r="AK17" s="53">
        <f t="shared" si="1"/>
        <v>0</v>
      </c>
      <c r="AL17" s="53">
        <f t="shared" si="17"/>
        <v>1661175.7156240477</v>
      </c>
      <c r="AM17" s="53">
        <f t="shared" si="19"/>
        <v>13495319.994428255</v>
      </c>
      <c r="AN17" s="53" t="e">
        <f>#REF!-AM17</f>
        <v>#REF!</v>
      </c>
      <c r="AO17" s="53"/>
    </row>
    <row r="18" spans="1:43">
      <c r="A18" s="3">
        <v>5503</v>
      </c>
      <c r="B18" s="112" t="s">
        <v>51</v>
      </c>
      <c r="C18" s="130">
        <f>Markaz!C18+Avenue!C18</f>
        <v>0</v>
      </c>
      <c r="D18" s="70"/>
      <c r="E18" s="130">
        <f>Markaz!E18+Avenue!E18</f>
        <v>0</v>
      </c>
      <c r="F18" s="70"/>
      <c r="G18" s="130">
        <f>Markaz!G18+Avenue!G18</f>
        <v>0</v>
      </c>
      <c r="H18" s="70"/>
      <c r="I18" s="130">
        <f>Markaz!I18+Avenue!I18</f>
        <v>0</v>
      </c>
      <c r="J18" s="70"/>
      <c r="K18" s="130">
        <f>Markaz!K18+Avenue!K18</f>
        <v>0</v>
      </c>
      <c r="L18" s="70"/>
      <c r="M18" s="130">
        <f>Markaz!M18+Avenue!M18</f>
        <v>0</v>
      </c>
      <c r="N18" s="70"/>
      <c r="O18" s="130">
        <f>Markaz!O18+Avenue!O18</f>
        <v>0</v>
      </c>
      <c r="P18" s="70"/>
      <c r="Q18" s="130">
        <f>Markaz!Q18+Avenue!Q18</f>
        <v>0</v>
      </c>
      <c r="R18" s="70"/>
      <c r="S18" s="130">
        <f>Markaz!S18+Avenue!S18</f>
        <v>0</v>
      </c>
      <c r="T18" s="70"/>
      <c r="U18" s="130">
        <f>Markaz!U18+Avenue!U18</f>
        <v>0</v>
      </c>
      <c r="V18" s="70"/>
      <c r="W18" s="130">
        <f>Markaz!W18+Avenue!W18</f>
        <v>0</v>
      </c>
      <c r="X18" s="70"/>
      <c r="Y18" s="130">
        <f>Markaz!Y18+Avenue!Y18</f>
        <v>0</v>
      </c>
      <c r="AA18" s="275">
        <f>C18+E18+G18+I18+K18+M18+O18+Q18+S18+U18+W18+Y18</f>
        <v>0</v>
      </c>
      <c r="AB18" s="202"/>
      <c r="AC18" s="194">
        <f t="shared" si="14"/>
        <v>0</v>
      </c>
      <c r="AD18" s="202"/>
      <c r="AE18" s="75"/>
      <c r="AF18" s="158"/>
      <c r="AG18" s="75"/>
      <c r="AH18" s="194">
        <v>0</v>
      </c>
      <c r="AI18" s="243"/>
      <c r="AJ18" s="282">
        <f t="shared" si="0"/>
        <v>0</v>
      </c>
      <c r="AK18" s="53">
        <f t="shared" si="1"/>
        <v>0</v>
      </c>
      <c r="AL18" s="53">
        <f t="shared" si="17"/>
        <v>0</v>
      </c>
      <c r="AM18" s="53">
        <f t="shared" si="19"/>
        <v>0</v>
      </c>
      <c r="AN18" s="53" t="e">
        <f>#REF!-AM18</f>
        <v>#REF!</v>
      </c>
      <c r="AO18" s="53"/>
    </row>
    <row r="19" spans="1:43">
      <c r="A19" s="3">
        <v>5504</v>
      </c>
      <c r="B19" s="112" t="s">
        <v>52</v>
      </c>
      <c r="C19" s="304">
        <f>Markaz!C19+Avenue!C19</f>
        <v>-2.4E-2</v>
      </c>
      <c r="D19" s="49">
        <f>C19/C12</f>
        <v>-9.1795178641832194E-8</v>
      </c>
      <c r="E19" s="304">
        <f>Markaz!E19+Avenue!E19</f>
        <v>-1.7999999999999999E-2</v>
      </c>
      <c r="F19" s="49">
        <f>E19/E12</f>
        <v>-8.8491320393411511E-8</v>
      </c>
      <c r="G19" s="304">
        <f>Markaz!G19+Avenue!G19</f>
        <v>9.4E-2</v>
      </c>
      <c r="H19" s="49">
        <f>G19/G12</f>
        <v>2.7859149303356619E-7</v>
      </c>
      <c r="I19" s="304">
        <f>Markaz!I19+Avenue!I19</f>
        <v>9.5000000000000001E-2</v>
      </c>
      <c r="J19" s="49">
        <f>I19/I12</f>
        <v>3.1886417046452438E-7</v>
      </c>
      <c r="K19" s="304">
        <f>Markaz!K19+Avenue!K19</f>
        <v>0.104</v>
      </c>
      <c r="L19" s="49">
        <f>K19/K12</f>
        <v>3.8166590714488825E-7</v>
      </c>
      <c r="M19" s="304">
        <f>Markaz!M19+Avenue!M19</f>
        <v>-5.0999999999999997E-2</v>
      </c>
      <c r="N19" s="49">
        <f>M19/M12</f>
        <v>-1.3199218486714848E-7</v>
      </c>
      <c r="O19" s="304">
        <f>Markaz!O19+Avenue!O19</f>
        <v>0.182</v>
      </c>
      <c r="P19" s="49">
        <f>O19/O12</f>
        <v>7.4399479160570389E-7</v>
      </c>
      <c r="Q19" s="304">
        <f>Markaz!Q19+Avenue!Q19</f>
        <v>0.128</v>
      </c>
      <c r="R19" s="49">
        <f>Q19/Q12</f>
        <v>4.213840974444876E-7</v>
      </c>
      <c r="S19" s="304">
        <f>Markaz!S19+Avenue!S19</f>
        <v>1.4E-2</v>
      </c>
      <c r="T19" s="49">
        <f>S19/S12</f>
        <v>4.5751274386885156E-8</v>
      </c>
      <c r="U19" s="304">
        <f>Markaz!U19+Avenue!U19</f>
        <v>0</v>
      </c>
      <c r="V19" s="49">
        <f>U19/U12</f>
        <v>0</v>
      </c>
      <c r="W19" s="304">
        <f>Markaz!W19+Avenue!W19</f>
        <v>0</v>
      </c>
      <c r="X19" s="49">
        <f>W19/W12</f>
        <v>0</v>
      </c>
      <c r="Y19" s="304">
        <f>Markaz!Y19+Avenue!Y19</f>
        <v>0</v>
      </c>
      <c r="Z19" s="168">
        <f>Y19/Y12</f>
        <v>0</v>
      </c>
      <c r="AA19" s="275">
        <f>C19+E19+G19+I19+K19+M19+O19+Q19+S19+U19+W19+Y19</f>
        <v>0.52400000000000002</v>
      </c>
      <c r="AB19" s="203">
        <f>AA19/AA12</f>
        <v>1.5073852209618932E-7</v>
      </c>
      <c r="AC19" s="194">
        <f t="shared" si="14"/>
        <v>4.3666666666666666E-2</v>
      </c>
      <c r="AD19" s="203">
        <f>AC19/AC12</f>
        <v>1.5073852209618932E-7</v>
      </c>
      <c r="AE19" s="75"/>
      <c r="AF19" s="158"/>
      <c r="AG19" s="75"/>
      <c r="AH19" s="194">
        <v>0</v>
      </c>
      <c r="AI19" s="244">
        <f>AH19/AH12</f>
        <v>0</v>
      </c>
      <c r="AJ19" s="282">
        <f t="shared" si="0"/>
        <v>0.56766666666666665</v>
      </c>
      <c r="AK19" s="53">
        <f t="shared" si="1"/>
        <v>0</v>
      </c>
      <c r="AL19" s="53">
        <f t="shared" si="17"/>
        <v>0.52400000000000002</v>
      </c>
      <c r="AM19" s="53">
        <f t="shared" si="19"/>
        <v>5.3203999999999994</v>
      </c>
      <c r="AN19" s="53" t="e">
        <f>#REF!-AM19</f>
        <v>#REF!</v>
      </c>
      <c r="AO19" s="53"/>
    </row>
    <row r="20" spans="1:43">
      <c r="A20" s="3">
        <v>5505</v>
      </c>
      <c r="B20" s="112" t="s">
        <v>53</v>
      </c>
      <c r="C20" s="130">
        <f>Markaz!C20+Avenue!C20</f>
        <v>0</v>
      </c>
      <c r="D20" s="70"/>
      <c r="E20" s="130">
        <f>Markaz!E20+Avenue!E20</f>
        <v>0</v>
      </c>
      <c r="F20" s="70"/>
      <c r="G20" s="130">
        <f>Markaz!G20+Avenue!G20</f>
        <v>0</v>
      </c>
      <c r="H20" s="70"/>
      <c r="I20" s="130">
        <f>Markaz!I20+Avenue!I20</f>
        <v>0</v>
      </c>
      <c r="J20" s="70"/>
      <c r="K20" s="130">
        <f>Markaz!K20+Avenue!K20</f>
        <v>0</v>
      </c>
      <c r="L20" s="70"/>
      <c r="M20" s="130">
        <f>Markaz!M20+Avenue!M20</f>
        <v>0</v>
      </c>
      <c r="N20" s="70"/>
      <c r="O20" s="130">
        <f>Markaz!O20+Avenue!O20</f>
        <v>0</v>
      </c>
      <c r="P20" s="70"/>
      <c r="Q20" s="130">
        <f>Markaz!Q20+Avenue!Q20</f>
        <v>0</v>
      </c>
      <c r="R20" s="70"/>
      <c r="S20" s="130">
        <f>Markaz!S20+Avenue!S20</f>
        <v>0</v>
      </c>
      <c r="T20" s="70"/>
      <c r="U20" s="130">
        <f>Markaz!U20+Avenue!U20</f>
        <v>0</v>
      </c>
      <c r="V20" s="70"/>
      <c r="W20" s="130">
        <f>Markaz!W20+Avenue!W20</f>
        <v>0</v>
      </c>
      <c r="X20" s="70"/>
      <c r="Y20" s="130">
        <f>Markaz!Y20+Avenue!Y20</f>
        <v>0</v>
      </c>
      <c r="AA20" s="275">
        <f>C20+E20+G20+I20+K20+M20+O20+Q20+S20+U20+W20+Y20</f>
        <v>0</v>
      </c>
      <c r="AB20" s="202"/>
      <c r="AC20" s="194">
        <f t="shared" si="14"/>
        <v>0</v>
      </c>
      <c r="AD20" s="202"/>
      <c r="AE20" s="75"/>
      <c r="AF20" s="158"/>
      <c r="AG20" s="75"/>
      <c r="AH20" s="194">
        <v>0</v>
      </c>
      <c r="AI20" s="243"/>
      <c r="AJ20" s="282">
        <f t="shared" si="0"/>
        <v>0</v>
      </c>
      <c r="AK20" s="53">
        <f t="shared" si="1"/>
        <v>0</v>
      </c>
      <c r="AL20" s="53">
        <f t="shared" si="17"/>
        <v>0</v>
      </c>
      <c r="AM20" s="53">
        <f t="shared" si="19"/>
        <v>0</v>
      </c>
      <c r="AN20" s="53" t="e">
        <f>#REF!-AM20</f>
        <v>#REF!</v>
      </c>
      <c r="AO20" s="53"/>
    </row>
    <row r="21" spans="1:43" ht="15.75" thickBot="1">
      <c r="A21" s="7">
        <v>5599</v>
      </c>
      <c r="B21" s="119" t="s">
        <v>94</v>
      </c>
      <c r="C21" s="27">
        <f>Markaz!C21+Avenue!C21</f>
        <v>134020.086664</v>
      </c>
      <c r="D21" s="68">
        <f>C21/C12</f>
        <v>0.51259990820482138</v>
      </c>
      <c r="E21" s="27">
        <f>Markaz!E21+Avenue!E21</f>
        <v>91483.247127254639</v>
      </c>
      <c r="F21" s="68">
        <f>E21/E12</f>
        <v>0.44974851845375191</v>
      </c>
      <c r="G21" s="27">
        <f>Markaz!G21+Avenue!G21</f>
        <v>166985.09233372496</v>
      </c>
      <c r="H21" s="68">
        <f>G21/G12</f>
        <v>0.49490027859149305</v>
      </c>
      <c r="I21" s="27">
        <f>Markaz!I21+Avenue!I21</f>
        <v>138161.05030682526</v>
      </c>
      <c r="J21" s="68">
        <f>I21/I12</f>
        <v>0.46373272312203423</v>
      </c>
      <c r="K21" s="27">
        <f>Markaz!K21+Avenue!K21</f>
        <v>119877.05820666901</v>
      </c>
      <c r="L21" s="68">
        <f>K21/K12</f>
        <v>0.43993255929143177</v>
      </c>
      <c r="M21" s="27">
        <f>Markaz!M21+Avenue!M21</f>
        <v>200759.88775891048</v>
      </c>
      <c r="N21" s="68">
        <f>M21/M12</f>
        <v>0.51958306311729596</v>
      </c>
      <c r="O21" s="27">
        <f>Markaz!O21+Avenue!O21</f>
        <v>108391.52584320084</v>
      </c>
      <c r="P21" s="68">
        <f>O21/O12</f>
        <v>0.44309192682162901</v>
      </c>
      <c r="Q21" s="27">
        <f>Markaz!Q21+Avenue!Q21</f>
        <v>136375.11587433313</v>
      </c>
      <c r="R21" s="68">
        <f>Q21/Q12</f>
        <v>0.44895550872338502</v>
      </c>
      <c r="S21" s="27">
        <f>Markaz!S21+Avenue!S21</f>
        <v>138170.86936653405</v>
      </c>
      <c r="T21" s="68">
        <f>S21/S12</f>
        <v>0.45153523976162602</v>
      </c>
      <c r="U21" s="27">
        <f>Markaz!U21+Avenue!U21</f>
        <v>119500.32204754269</v>
      </c>
      <c r="V21" s="68">
        <f>U21/U12</f>
        <v>0.49233187625152269</v>
      </c>
      <c r="W21" s="27">
        <f>Markaz!W21+Avenue!W21</f>
        <v>113574.67417588798</v>
      </c>
      <c r="X21" s="68">
        <f>W21/W12</f>
        <v>0.45989736231628114</v>
      </c>
      <c r="Y21" s="27">
        <f>Markaz!Y21+Avenue!Y21</f>
        <v>193877.30991916457</v>
      </c>
      <c r="Z21" s="212">
        <f>Y21/Y12</f>
        <v>0.51968319509338201</v>
      </c>
      <c r="AA21" s="200">
        <f>SUM(AA17:AA20)</f>
        <v>1661176.2396240477</v>
      </c>
      <c r="AB21" s="234">
        <f>AA21/AA12</f>
        <v>0.47786880019510342</v>
      </c>
      <c r="AC21" s="199">
        <f>AA21/12</f>
        <v>138431.35330200396</v>
      </c>
      <c r="AD21" s="234">
        <f>AC21/AC12</f>
        <v>0.47786880019510342</v>
      </c>
      <c r="AE21" s="75"/>
      <c r="AF21" s="158"/>
      <c r="AG21" s="75"/>
      <c r="AH21" s="199">
        <f>SUM(AH17:AH20)</f>
        <v>402615.07500000001</v>
      </c>
      <c r="AI21" s="248">
        <f>AH21/AH12</f>
        <v>0.5</v>
      </c>
      <c r="AJ21" s="286">
        <f t="shared" si="0"/>
        <v>2202222.6679260517</v>
      </c>
      <c r="AK21" s="53">
        <f t="shared" si="1"/>
        <v>0</v>
      </c>
      <c r="AL21" s="53">
        <f t="shared" si="17"/>
        <v>1661176.2396240479</v>
      </c>
      <c r="AM21" s="53">
        <f t="shared" si="19"/>
        <v>13495325.314828254</v>
      </c>
      <c r="AN21" s="53" t="e">
        <f>#REF!-AM21</f>
        <v>#REF!</v>
      </c>
      <c r="AO21" s="53"/>
    </row>
    <row r="22" spans="1:43" ht="15.75" thickTop="1">
      <c r="A22" s="97">
        <v>5601</v>
      </c>
      <c r="B22" s="3" t="s">
        <v>54</v>
      </c>
      <c r="C22" s="18">
        <f>Markaz!C22+Avenue!C22</f>
        <v>0</v>
      </c>
      <c r="D22" s="49">
        <f>C22/C12</f>
        <v>0</v>
      </c>
      <c r="E22" s="18">
        <f>Markaz!E22+Avenue!E22</f>
        <v>0</v>
      </c>
      <c r="F22" s="49">
        <f>E22/E12</f>
        <v>0</v>
      </c>
      <c r="G22" s="18">
        <f>Markaz!G22+Avenue!G22</f>
        <v>0</v>
      </c>
      <c r="H22" s="49">
        <f>G22/G12</f>
        <v>0</v>
      </c>
      <c r="I22" s="18">
        <f>Markaz!I22+Avenue!I22</f>
        <v>0</v>
      </c>
      <c r="J22" s="49">
        <f>I22/I12</f>
        <v>0</v>
      </c>
      <c r="K22" s="18">
        <f>Markaz!K22+Avenue!K22</f>
        <v>0</v>
      </c>
      <c r="L22" s="49">
        <f>K22/K12</f>
        <v>0</v>
      </c>
      <c r="M22" s="18">
        <f>Markaz!M22+Avenue!M22</f>
        <v>0</v>
      </c>
      <c r="N22" s="49">
        <f>M22/M12</f>
        <v>0</v>
      </c>
      <c r="O22" s="18">
        <f>Markaz!O22+Avenue!O22</f>
        <v>0</v>
      </c>
      <c r="P22" s="49">
        <f>O22/O12</f>
        <v>0</v>
      </c>
      <c r="Q22" s="18">
        <f>Markaz!Q22+Avenue!Q22</f>
        <v>0</v>
      </c>
      <c r="R22" s="49">
        <f>Q22/Q12</f>
        <v>0</v>
      </c>
      <c r="S22" s="18">
        <f>Markaz!S22+Avenue!S22</f>
        <v>0</v>
      </c>
      <c r="T22" s="49">
        <f>S22/S12</f>
        <v>0</v>
      </c>
      <c r="U22" s="18">
        <f>Markaz!U22+Avenue!U22</f>
        <v>0</v>
      </c>
      <c r="V22" s="49">
        <f>U22/U12</f>
        <v>0</v>
      </c>
      <c r="W22" s="18">
        <f>Markaz!W22+Avenue!W22</f>
        <v>0</v>
      </c>
      <c r="X22" s="49">
        <f>W22/W12</f>
        <v>0</v>
      </c>
      <c r="Y22" s="18">
        <f>Markaz!Y22+Avenue!Y22</f>
        <v>0</v>
      </c>
      <c r="Z22" s="168">
        <f>Y22/Y12</f>
        <v>0</v>
      </c>
      <c r="AA22" s="275">
        <f t="shared" ref="AA22:AA34" si="20">C22+E22+G22+I22+K22+M22+O22+Q22+S22+U22+W22+Y22</f>
        <v>0</v>
      </c>
      <c r="AB22" s="203">
        <f>AA22/AA12</f>
        <v>0</v>
      </c>
      <c r="AC22" s="204">
        <f t="shared" si="14"/>
        <v>0</v>
      </c>
      <c r="AD22" s="203">
        <f>AC22/AC12</f>
        <v>0</v>
      </c>
      <c r="AE22" s="75"/>
      <c r="AF22" s="158"/>
      <c r="AG22" s="75"/>
      <c r="AH22" s="204">
        <v>0</v>
      </c>
      <c r="AI22" s="244">
        <f>AH22/AH12</f>
        <v>0</v>
      </c>
      <c r="AJ22" s="282">
        <f t="shared" si="0"/>
        <v>0</v>
      </c>
      <c r="AK22" s="53">
        <f t="shared" si="1"/>
        <v>0</v>
      </c>
      <c r="AL22" s="53">
        <f t="shared" si="17"/>
        <v>0</v>
      </c>
      <c r="AM22" s="53">
        <f t="shared" si="19"/>
        <v>0</v>
      </c>
      <c r="AN22" s="53" t="e">
        <f>#REF!-AM22</f>
        <v>#REF!</v>
      </c>
      <c r="AO22" s="53"/>
    </row>
    <row r="23" spans="1:43">
      <c r="A23" s="3">
        <v>5602</v>
      </c>
      <c r="B23" s="3" t="s">
        <v>55</v>
      </c>
      <c r="C23" s="18">
        <f>Markaz!C23+Avenue!C23</f>
        <v>0</v>
      </c>
      <c r="D23" s="49">
        <f>C23/C12</f>
        <v>0</v>
      </c>
      <c r="E23" s="18">
        <f>Markaz!E23+Avenue!E23</f>
        <v>0</v>
      </c>
      <c r="F23" s="49">
        <f>E23/E12</f>
        <v>0</v>
      </c>
      <c r="G23" s="18">
        <f>Markaz!G23+Avenue!G23</f>
        <v>0</v>
      </c>
      <c r="H23" s="49">
        <f>G23/G12</f>
        <v>0</v>
      </c>
      <c r="I23" s="18">
        <f>Markaz!I23+Avenue!I23</f>
        <v>0</v>
      </c>
      <c r="J23" s="49">
        <f>I23/I12</f>
        <v>0</v>
      </c>
      <c r="K23" s="18">
        <f>Markaz!K23+Avenue!K23</f>
        <v>0</v>
      </c>
      <c r="L23" s="49">
        <f>K23/K12</f>
        <v>0</v>
      </c>
      <c r="M23" s="18">
        <f>Markaz!M23+Avenue!M23</f>
        <v>0</v>
      </c>
      <c r="N23" s="49">
        <f>M23/M12</f>
        <v>0</v>
      </c>
      <c r="O23" s="18">
        <f>Markaz!O23+Avenue!O23</f>
        <v>0</v>
      </c>
      <c r="P23" s="49">
        <f>O23/O12</f>
        <v>0</v>
      </c>
      <c r="Q23" s="18">
        <f>Markaz!Q23+Avenue!Q23</f>
        <v>0</v>
      </c>
      <c r="R23" s="49">
        <f>Q23/Q12</f>
        <v>0</v>
      </c>
      <c r="S23" s="18">
        <f>Markaz!S23+Avenue!S23</f>
        <v>0</v>
      </c>
      <c r="T23" s="49">
        <f>S23/S12</f>
        <v>0</v>
      </c>
      <c r="U23" s="18">
        <f>Markaz!U23+Avenue!U23</f>
        <v>0</v>
      </c>
      <c r="V23" s="49">
        <f>U23/U12</f>
        <v>0</v>
      </c>
      <c r="W23" s="18">
        <f>Markaz!W23+Avenue!W23</f>
        <v>0</v>
      </c>
      <c r="X23" s="49">
        <f>W23/W12</f>
        <v>0</v>
      </c>
      <c r="Y23" s="18">
        <f>Markaz!Y23+Avenue!Y23</f>
        <v>0</v>
      </c>
      <c r="Z23" s="168">
        <f>Y23/Y12</f>
        <v>0</v>
      </c>
      <c r="AA23" s="275">
        <f t="shared" si="20"/>
        <v>0</v>
      </c>
      <c r="AB23" s="203">
        <f>AA23/AA12</f>
        <v>0</v>
      </c>
      <c r="AC23" s="204">
        <f t="shared" si="14"/>
        <v>0</v>
      </c>
      <c r="AD23" s="203">
        <f>AC23/AC12</f>
        <v>0</v>
      </c>
      <c r="AE23" s="75"/>
      <c r="AF23" s="158"/>
      <c r="AG23" s="75"/>
      <c r="AH23" s="204">
        <v>0</v>
      </c>
      <c r="AI23" s="244">
        <f>AH23/AH12</f>
        <v>0</v>
      </c>
      <c r="AJ23" s="282">
        <f t="shared" si="0"/>
        <v>0</v>
      </c>
      <c r="AK23" s="53">
        <f t="shared" si="1"/>
        <v>0</v>
      </c>
      <c r="AL23" s="53">
        <f t="shared" si="17"/>
        <v>0</v>
      </c>
      <c r="AM23" s="53">
        <f t="shared" si="19"/>
        <v>0</v>
      </c>
      <c r="AN23" s="53" t="e">
        <f>#REF!-AM23</f>
        <v>#REF!</v>
      </c>
      <c r="AO23" s="53"/>
    </row>
    <row r="24" spans="1:43">
      <c r="A24" s="3">
        <v>5603</v>
      </c>
      <c r="B24" s="3" t="s">
        <v>56</v>
      </c>
      <c r="C24" s="18">
        <f>Markaz!C24+Avenue!C24</f>
        <v>0</v>
      </c>
      <c r="D24" s="49">
        <f>C24/C12</f>
        <v>0</v>
      </c>
      <c r="E24" s="18">
        <f>Markaz!E24+Avenue!E24</f>
        <v>0</v>
      </c>
      <c r="F24" s="49">
        <f>E24/E12</f>
        <v>0</v>
      </c>
      <c r="G24" s="18">
        <f>Markaz!G24+Avenue!G24</f>
        <v>0</v>
      </c>
      <c r="H24" s="49">
        <f>G24/G12</f>
        <v>0</v>
      </c>
      <c r="I24" s="18">
        <f>Markaz!I24+Avenue!I24</f>
        <v>0</v>
      </c>
      <c r="J24" s="49">
        <f>I24/I12</f>
        <v>0</v>
      </c>
      <c r="K24" s="18">
        <f>Markaz!K24+Avenue!K24</f>
        <v>0</v>
      </c>
      <c r="L24" s="49">
        <f>K24/K12</f>
        <v>0</v>
      </c>
      <c r="M24" s="18">
        <f>Markaz!M24+Avenue!M24</f>
        <v>0</v>
      </c>
      <c r="N24" s="49">
        <f>M24/M12</f>
        <v>0</v>
      </c>
      <c r="O24" s="18">
        <f>Markaz!O24+Avenue!O24</f>
        <v>0</v>
      </c>
      <c r="P24" s="49">
        <f>O24/O12</f>
        <v>0</v>
      </c>
      <c r="Q24" s="18">
        <f>Markaz!Q24+Avenue!Q24</f>
        <v>0</v>
      </c>
      <c r="R24" s="49">
        <f>Q24/Q12</f>
        <v>0</v>
      </c>
      <c r="S24" s="18">
        <f>Markaz!S24+Avenue!S24</f>
        <v>0</v>
      </c>
      <c r="T24" s="49">
        <f>S24/S12</f>
        <v>0</v>
      </c>
      <c r="U24" s="18">
        <f>Markaz!U24+Avenue!U24</f>
        <v>0</v>
      </c>
      <c r="V24" s="49">
        <f>U24/U12</f>
        <v>0</v>
      </c>
      <c r="W24" s="18">
        <f>Markaz!W24+Avenue!W24</f>
        <v>0</v>
      </c>
      <c r="X24" s="49">
        <f>W24/W12</f>
        <v>0</v>
      </c>
      <c r="Y24" s="18">
        <f>Markaz!Y24+Avenue!Y24</f>
        <v>0</v>
      </c>
      <c r="Z24" s="168">
        <f>Y24/Y12</f>
        <v>0</v>
      </c>
      <c r="AA24" s="275">
        <f t="shared" si="20"/>
        <v>0</v>
      </c>
      <c r="AB24" s="203">
        <f>AA24/AA12</f>
        <v>0</v>
      </c>
      <c r="AC24" s="204">
        <f t="shared" si="14"/>
        <v>0</v>
      </c>
      <c r="AD24" s="203">
        <f>AC24/AC12</f>
        <v>0</v>
      </c>
      <c r="AE24" s="75"/>
      <c r="AF24" s="158"/>
      <c r="AG24" s="75"/>
      <c r="AH24" s="204">
        <v>0</v>
      </c>
      <c r="AI24" s="244">
        <f>AH24/AH12</f>
        <v>0</v>
      </c>
      <c r="AJ24" s="282">
        <f t="shared" si="0"/>
        <v>0</v>
      </c>
      <c r="AK24" s="53">
        <f t="shared" si="1"/>
        <v>0</v>
      </c>
      <c r="AL24" s="53">
        <f t="shared" si="17"/>
        <v>0</v>
      </c>
      <c r="AM24" s="53">
        <f t="shared" si="19"/>
        <v>0</v>
      </c>
      <c r="AN24" s="53" t="e">
        <f>#REF!-AM24</f>
        <v>#REF!</v>
      </c>
      <c r="AO24" s="53"/>
    </row>
    <row r="25" spans="1:43">
      <c r="A25" s="3">
        <v>5604</v>
      </c>
      <c r="B25" s="3" t="s">
        <v>57</v>
      </c>
      <c r="C25" s="18">
        <f>Markaz!C25+Avenue!C25</f>
        <v>50</v>
      </c>
      <c r="D25" s="49">
        <f>C25/C12</f>
        <v>1.9123995550381708E-4</v>
      </c>
      <c r="E25" s="18">
        <f>Markaz!E25+Avenue!E25</f>
        <v>50</v>
      </c>
      <c r="F25" s="49">
        <f>E25/E12</f>
        <v>2.4580922331503198E-4</v>
      </c>
      <c r="G25" s="18">
        <f>Markaz!G25+Avenue!G25</f>
        <v>50</v>
      </c>
      <c r="H25" s="49">
        <f>G25/G12</f>
        <v>1.4818696437955651E-4</v>
      </c>
      <c r="I25" s="18">
        <f>Markaz!I25+Avenue!I25</f>
        <v>50</v>
      </c>
      <c r="J25" s="49">
        <f>I25/I12</f>
        <v>1.6782324761290755E-4</v>
      </c>
      <c r="K25" s="18">
        <f>Markaz!K25+Avenue!K25</f>
        <v>50</v>
      </c>
      <c r="L25" s="49">
        <f>K25/K12</f>
        <v>1.834932245888886E-4</v>
      </c>
      <c r="M25" s="18">
        <f>Markaz!M25+Avenue!M25</f>
        <v>50</v>
      </c>
      <c r="N25" s="49">
        <f>M25/M12</f>
        <v>1.2940410281092989E-4</v>
      </c>
      <c r="O25" s="18">
        <f>Markaz!O25+Avenue!O25</f>
        <v>50</v>
      </c>
      <c r="P25" s="49">
        <f>O25/O12</f>
        <v>2.0439417351805054E-4</v>
      </c>
      <c r="Q25" s="18">
        <f>Markaz!Q25+Avenue!Q25</f>
        <v>50</v>
      </c>
      <c r="R25" s="49">
        <f>Q25/Q12</f>
        <v>1.6460316306425297E-4</v>
      </c>
      <c r="S25" s="18">
        <f>Markaz!S25+Avenue!S25</f>
        <v>50</v>
      </c>
      <c r="T25" s="49">
        <f>S25/S12</f>
        <v>1.6339740852458983E-4</v>
      </c>
      <c r="U25" s="18">
        <f>Markaz!U25+Avenue!U25</f>
        <v>50</v>
      </c>
      <c r="V25" s="49">
        <f>U25/U12</f>
        <v>2.059960457912618E-4</v>
      </c>
      <c r="W25" s="18">
        <f>Markaz!W25+Avenue!W25</f>
        <v>50</v>
      </c>
      <c r="X25" s="49">
        <f>W25/W12</f>
        <v>2.0246475090215043E-4</v>
      </c>
      <c r="Y25" s="18">
        <f>Markaz!Y25+Avenue!Y25</f>
        <v>50</v>
      </c>
      <c r="Z25" s="168">
        <f>Y25/Y12</f>
        <v>1.3402372750840707E-4</v>
      </c>
      <c r="AA25" s="275">
        <f t="shared" si="20"/>
        <v>600</v>
      </c>
      <c r="AB25" s="203">
        <f>AA25/AA12</f>
        <v>1.7260136117884273E-4</v>
      </c>
      <c r="AC25" s="204">
        <f t="shared" si="14"/>
        <v>50</v>
      </c>
      <c r="AD25" s="203">
        <f>AC25/AC12</f>
        <v>1.7260136117884273E-4</v>
      </c>
      <c r="AE25" s="75"/>
      <c r="AF25" s="158"/>
      <c r="AG25" s="75"/>
      <c r="AH25" s="204">
        <v>600</v>
      </c>
      <c r="AI25" s="244">
        <f>AH25/AH12</f>
        <v>7.4512858218237356E-4</v>
      </c>
      <c r="AJ25" s="282">
        <f t="shared" si="0"/>
        <v>1250</v>
      </c>
      <c r="AK25" s="53">
        <f t="shared" si="1"/>
        <v>0</v>
      </c>
      <c r="AL25" s="53">
        <f t="shared" si="17"/>
        <v>600</v>
      </c>
      <c r="AM25" s="53">
        <f t="shared" si="19"/>
        <v>4700</v>
      </c>
      <c r="AN25" s="53" t="e">
        <f>#REF!-AM25</f>
        <v>#REF!</v>
      </c>
      <c r="AO25" s="53" t="s">
        <v>205</v>
      </c>
    </row>
    <row r="26" spans="1:43">
      <c r="A26" s="3">
        <v>5605</v>
      </c>
      <c r="B26" s="3" t="s">
        <v>15</v>
      </c>
      <c r="C26" s="18">
        <f>Markaz!C26+Avenue!C26</f>
        <v>0</v>
      </c>
      <c r="D26" s="49">
        <f>C26/C12</f>
        <v>0</v>
      </c>
      <c r="E26" s="18">
        <f>Markaz!E26+Avenue!E26</f>
        <v>0</v>
      </c>
      <c r="F26" s="49">
        <f>E26/E12</f>
        <v>0</v>
      </c>
      <c r="G26" s="18">
        <f>Markaz!G26+Avenue!G26</f>
        <v>0</v>
      </c>
      <c r="H26" s="49">
        <f>G26/G12</f>
        <v>0</v>
      </c>
      <c r="I26" s="18">
        <f>Markaz!I26+Avenue!I26</f>
        <v>0</v>
      </c>
      <c r="J26" s="49">
        <f>I26/I12</f>
        <v>0</v>
      </c>
      <c r="K26" s="18">
        <f>Markaz!K26+Avenue!K26</f>
        <v>0</v>
      </c>
      <c r="L26" s="49">
        <f>K26/K12</f>
        <v>0</v>
      </c>
      <c r="M26" s="18">
        <f>Markaz!M26+Avenue!M26</f>
        <v>0</v>
      </c>
      <c r="N26" s="49">
        <f>M26/M12</f>
        <v>0</v>
      </c>
      <c r="O26" s="18">
        <f>Markaz!O26+Avenue!O26</f>
        <v>0</v>
      </c>
      <c r="P26" s="49">
        <f>O26/O12</f>
        <v>0</v>
      </c>
      <c r="Q26" s="18">
        <f>Markaz!Q26+Avenue!Q26</f>
        <v>0</v>
      </c>
      <c r="R26" s="49">
        <f>Q26/Q12</f>
        <v>0</v>
      </c>
      <c r="S26" s="18">
        <f>Markaz!S26+Avenue!S26</f>
        <v>0</v>
      </c>
      <c r="T26" s="49">
        <f>S26/S12</f>
        <v>0</v>
      </c>
      <c r="U26" s="18">
        <f>Markaz!U26+Avenue!U26</f>
        <v>0</v>
      </c>
      <c r="V26" s="49">
        <f>U26/U12</f>
        <v>0</v>
      </c>
      <c r="W26" s="18">
        <f>Markaz!W26+Avenue!W26</f>
        <v>0</v>
      </c>
      <c r="X26" s="49">
        <f>W26/W12</f>
        <v>0</v>
      </c>
      <c r="Y26" s="18">
        <f>Markaz!Y26+Avenue!Y26</f>
        <v>0</v>
      </c>
      <c r="Z26" s="168">
        <f>Y26/Y12</f>
        <v>0</v>
      </c>
      <c r="AA26" s="275">
        <f t="shared" si="20"/>
        <v>0</v>
      </c>
      <c r="AB26" s="203">
        <f>AA26/AA12</f>
        <v>0</v>
      </c>
      <c r="AC26" s="204">
        <f t="shared" si="14"/>
        <v>0</v>
      </c>
      <c r="AD26" s="203">
        <f>AC26/AC12</f>
        <v>0</v>
      </c>
      <c r="AE26" s="75"/>
      <c r="AF26" s="158"/>
      <c r="AG26" s="75"/>
      <c r="AH26" s="204">
        <v>0</v>
      </c>
      <c r="AI26" s="244">
        <f>AH26/AH12</f>
        <v>0</v>
      </c>
      <c r="AJ26" s="282">
        <f t="shared" si="0"/>
        <v>0</v>
      </c>
      <c r="AK26" s="53">
        <f t="shared" si="1"/>
        <v>0</v>
      </c>
      <c r="AL26" s="53">
        <f t="shared" si="17"/>
        <v>0</v>
      </c>
      <c r="AM26" s="53">
        <f t="shared" si="19"/>
        <v>0</v>
      </c>
      <c r="AN26" s="53" t="e">
        <f>#REF!-AM26</f>
        <v>#REF!</v>
      </c>
      <c r="AO26" s="53"/>
    </row>
    <row r="27" spans="1:43">
      <c r="A27" s="3">
        <v>5606</v>
      </c>
      <c r="B27" s="3" t="s">
        <v>77</v>
      </c>
      <c r="C27" s="18">
        <f>Markaz!C27+Avenue!C27</f>
        <v>888.93557600000008</v>
      </c>
      <c r="D27" s="49">
        <f>C27/C12</f>
        <v>3.4000000000000002E-3</v>
      </c>
      <c r="E27" s="18">
        <f>Markaz!E27+Avenue!E27</f>
        <v>691.59325149539245</v>
      </c>
      <c r="F27" s="49">
        <f>E27/E12</f>
        <v>3.4000000000000002E-3</v>
      </c>
      <c r="G27" s="18">
        <f>Markaz!G27+Avenue!G27</f>
        <v>1147.1994227817031</v>
      </c>
      <c r="H27" s="49">
        <f>G27/G12</f>
        <v>3.4000000000000002E-3</v>
      </c>
      <c r="I27" s="18">
        <f>Markaz!I27+Avenue!I27</f>
        <v>1012.9705056841304</v>
      </c>
      <c r="J27" s="49">
        <f>I27/I12</f>
        <v>3.4000000000000002E-3</v>
      </c>
      <c r="K27" s="18">
        <f>Markaz!K27+Avenue!K27</f>
        <v>926.46472577328245</v>
      </c>
      <c r="L27" s="49">
        <f>K27/K12</f>
        <v>3.3999999999999998E-3</v>
      </c>
      <c r="M27" s="18">
        <f>Markaz!M27+Avenue!M27</f>
        <v>1313.7141428072343</v>
      </c>
      <c r="N27" s="49">
        <f>M27/M12</f>
        <v>3.3999999999999998E-3</v>
      </c>
      <c r="O27" s="18">
        <f>Markaz!O27+Avenue!O27</f>
        <v>831.72625263208351</v>
      </c>
      <c r="P27" s="49">
        <f>O27/O12</f>
        <v>3.4000000000000002E-3</v>
      </c>
      <c r="Q27" s="18">
        <f>Markaz!Q27+Avenue!Q27</f>
        <v>1032.7869576457676</v>
      </c>
      <c r="R27" s="49">
        <f>Q27/Q12</f>
        <v>3.4000000000000002E-3</v>
      </c>
      <c r="S27" s="18">
        <f>Markaz!S27+Avenue!S27</f>
        <v>1040.4081774308956</v>
      </c>
      <c r="T27" s="49">
        <f>S27/S12</f>
        <v>3.4000000000000002E-3</v>
      </c>
      <c r="U27" s="18">
        <f>Markaz!U27+Avenue!U27</f>
        <v>825.25855943983993</v>
      </c>
      <c r="V27" s="49">
        <f>U27/U12</f>
        <v>3.4000000000000002E-3</v>
      </c>
      <c r="W27" s="18">
        <f>Markaz!W27+Avenue!W27</f>
        <v>839.65233080082976</v>
      </c>
      <c r="X27" s="49">
        <f>W27/W12</f>
        <v>3.4000000000000002E-3</v>
      </c>
      <c r="Y27" s="18">
        <f>Markaz!Y27+Avenue!Y27</f>
        <v>1268.4321139280073</v>
      </c>
      <c r="Z27" s="168">
        <f>Y27/Y12</f>
        <v>3.4000000000000002E-3</v>
      </c>
      <c r="AA27" s="275">
        <f t="shared" si="20"/>
        <v>11819.142016419168</v>
      </c>
      <c r="AB27" s="203">
        <f>AA27/AA12</f>
        <v>3.4000000000000007E-3</v>
      </c>
      <c r="AC27" s="204">
        <f t="shared" si="14"/>
        <v>984.92850136826394</v>
      </c>
      <c r="AD27" s="203">
        <f>AC27/AC12</f>
        <v>3.4000000000000007E-3</v>
      </c>
      <c r="AE27" s="75" t="s">
        <v>134</v>
      </c>
      <c r="AF27" s="158">
        <v>-1689</v>
      </c>
      <c r="AG27" s="75" t="s">
        <v>135</v>
      </c>
      <c r="AH27" s="204">
        <f>AA27</f>
        <v>11819.142016419168</v>
      </c>
      <c r="AI27" s="244">
        <f>AH27/AH12</f>
        <v>1.4677967555510891E-2</v>
      </c>
      <c r="AJ27" s="282">
        <f t="shared" si="0"/>
        <v>24623.212534206599</v>
      </c>
      <c r="AK27" s="53">
        <f t="shared" si="1"/>
        <v>0</v>
      </c>
      <c r="AL27" s="53">
        <f t="shared" si="17"/>
        <v>11819.142016419168</v>
      </c>
      <c r="AM27" s="53">
        <f t="shared" si="19"/>
        <v>96242.963975883482</v>
      </c>
      <c r="AN27" s="53" t="e">
        <f>#REF!-AM27</f>
        <v>#REF!</v>
      </c>
      <c r="AO27" s="53" t="s">
        <v>206</v>
      </c>
      <c r="AQ27" s="1">
        <v>1005.56</v>
      </c>
    </row>
    <row r="28" spans="1:43">
      <c r="A28" s="3">
        <v>5607</v>
      </c>
      <c r="B28" s="112" t="s">
        <v>58</v>
      </c>
      <c r="C28" s="130">
        <f>Markaz!C28+Avenue!C28</f>
        <v>0</v>
      </c>
      <c r="D28" s="49">
        <f>C28/C12</f>
        <v>0</v>
      </c>
      <c r="E28" s="130">
        <f>Markaz!E28+Avenue!E28</f>
        <v>0</v>
      </c>
      <c r="F28" s="49">
        <f>E28/E12</f>
        <v>0</v>
      </c>
      <c r="G28" s="130">
        <f>Markaz!G28+Avenue!G28</f>
        <v>0</v>
      </c>
      <c r="H28" s="49">
        <f>G28/G12</f>
        <v>0</v>
      </c>
      <c r="I28" s="130">
        <f>Markaz!I28+Avenue!I28</f>
        <v>0</v>
      </c>
      <c r="J28" s="49">
        <f>I28/I12</f>
        <v>0</v>
      </c>
      <c r="K28" s="130">
        <f>Markaz!K28+Avenue!K28</f>
        <v>0</v>
      </c>
      <c r="L28" s="49">
        <f>K28/K12</f>
        <v>0</v>
      </c>
      <c r="M28" s="130">
        <f>Markaz!M28+Avenue!M28</f>
        <v>0</v>
      </c>
      <c r="N28" s="49">
        <f>M28/M12</f>
        <v>0</v>
      </c>
      <c r="O28" s="130">
        <f>Markaz!O28+Avenue!O28</f>
        <v>0</v>
      </c>
      <c r="P28" s="49">
        <f>O28/O12</f>
        <v>0</v>
      </c>
      <c r="Q28" s="130">
        <f>Markaz!Q28+Avenue!Q28</f>
        <v>0</v>
      </c>
      <c r="R28" s="49">
        <f>Q28/Q12</f>
        <v>0</v>
      </c>
      <c r="S28" s="130">
        <f>Markaz!S28+Avenue!S28</f>
        <v>0</v>
      </c>
      <c r="T28" s="49">
        <f>S28/S12</f>
        <v>0</v>
      </c>
      <c r="U28" s="130">
        <f>Markaz!U28+Avenue!U28</f>
        <v>0</v>
      </c>
      <c r="V28" s="49">
        <f>U28/U12</f>
        <v>0</v>
      </c>
      <c r="W28" s="130">
        <f>Markaz!W28+Avenue!W28</f>
        <v>0</v>
      </c>
      <c r="X28" s="49">
        <f>W28/W12</f>
        <v>0</v>
      </c>
      <c r="Y28" s="130">
        <f>Markaz!Y28+Avenue!Y28</f>
        <v>0</v>
      </c>
      <c r="Z28" s="168">
        <f>Y28/Y12</f>
        <v>0</v>
      </c>
      <c r="AA28" s="275">
        <f t="shared" si="20"/>
        <v>0</v>
      </c>
      <c r="AB28" s="203">
        <f>AA28/AA12</f>
        <v>0</v>
      </c>
      <c r="AC28" s="194">
        <f t="shared" si="14"/>
        <v>0</v>
      </c>
      <c r="AD28" s="203">
        <f>AC28/AC12</f>
        <v>0</v>
      </c>
      <c r="AE28" s="75"/>
      <c r="AF28" s="158"/>
      <c r="AG28" s="75"/>
      <c r="AH28" s="194">
        <v>0</v>
      </c>
      <c r="AI28" s="244">
        <f>AH28/AH12</f>
        <v>0</v>
      </c>
      <c r="AJ28" s="282">
        <f t="shared" si="0"/>
        <v>0</v>
      </c>
      <c r="AK28" s="53">
        <f t="shared" si="1"/>
        <v>0</v>
      </c>
      <c r="AL28" s="53">
        <f t="shared" si="17"/>
        <v>0</v>
      </c>
      <c r="AM28" s="53">
        <f t="shared" si="19"/>
        <v>0</v>
      </c>
      <c r="AN28" s="53" t="e">
        <f>#REF!-AM28</f>
        <v>#REF!</v>
      </c>
      <c r="AO28" s="53"/>
    </row>
    <row r="29" spans="1:43">
      <c r="A29" s="3">
        <v>5608</v>
      </c>
      <c r="B29" s="112" t="s">
        <v>59</v>
      </c>
      <c r="C29" s="130">
        <f>Markaz!C29+Avenue!C29</f>
        <v>0</v>
      </c>
      <c r="D29" s="49">
        <f>C29/C12</f>
        <v>0</v>
      </c>
      <c r="E29" s="130">
        <f>Markaz!E29+Avenue!E29</f>
        <v>0</v>
      </c>
      <c r="F29" s="49">
        <f>E29/E12</f>
        <v>0</v>
      </c>
      <c r="G29" s="130">
        <f>Markaz!G29+Avenue!G29</f>
        <v>0</v>
      </c>
      <c r="H29" s="49">
        <f>G29/G12</f>
        <v>0</v>
      </c>
      <c r="I29" s="130">
        <f>Markaz!I29+Avenue!I29</f>
        <v>0</v>
      </c>
      <c r="J29" s="49">
        <f>I29/I12</f>
        <v>0</v>
      </c>
      <c r="K29" s="130">
        <f>Markaz!K29+Avenue!K29</f>
        <v>0</v>
      </c>
      <c r="L29" s="49">
        <f>K29/K12</f>
        <v>0</v>
      </c>
      <c r="M29" s="130">
        <f>Markaz!M29+Avenue!M29</f>
        <v>0</v>
      </c>
      <c r="N29" s="49">
        <f>M29/M12</f>
        <v>0</v>
      </c>
      <c r="O29" s="130">
        <f>Markaz!O29+Avenue!O29</f>
        <v>0</v>
      </c>
      <c r="P29" s="49">
        <f>O29/O12</f>
        <v>0</v>
      </c>
      <c r="Q29" s="130">
        <f>Markaz!Q29+Avenue!Q29</f>
        <v>0</v>
      </c>
      <c r="R29" s="49">
        <f>Q29/Q12</f>
        <v>0</v>
      </c>
      <c r="S29" s="130">
        <f>Markaz!S29+Avenue!S29</f>
        <v>0</v>
      </c>
      <c r="T29" s="49">
        <f>S29/S12</f>
        <v>0</v>
      </c>
      <c r="U29" s="130">
        <f>Markaz!U29+Avenue!U29</f>
        <v>0</v>
      </c>
      <c r="V29" s="49">
        <f>U29/U12</f>
        <v>0</v>
      </c>
      <c r="W29" s="130">
        <f>Markaz!W29+Avenue!W29</f>
        <v>0</v>
      </c>
      <c r="X29" s="49">
        <f>W29/W12</f>
        <v>0</v>
      </c>
      <c r="Y29" s="130">
        <f>Markaz!Y29+Avenue!Y29</f>
        <v>0</v>
      </c>
      <c r="Z29" s="168">
        <f>Y29/Y12</f>
        <v>0</v>
      </c>
      <c r="AA29" s="275">
        <f t="shared" si="20"/>
        <v>0</v>
      </c>
      <c r="AB29" s="203">
        <f>AA29/AA12</f>
        <v>0</v>
      </c>
      <c r="AC29" s="194">
        <f t="shared" si="14"/>
        <v>0</v>
      </c>
      <c r="AD29" s="203">
        <f>AC29/AC12</f>
        <v>0</v>
      </c>
      <c r="AE29" s="75"/>
      <c r="AF29" s="158"/>
      <c r="AG29" s="75"/>
      <c r="AH29" s="194">
        <v>0</v>
      </c>
      <c r="AI29" s="244">
        <f>AH29/AH12</f>
        <v>0</v>
      </c>
      <c r="AJ29" s="282">
        <f t="shared" si="0"/>
        <v>0</v>
      </c>
      <c r="AK29" s="53">
        <f t="shared" si="1"/>
        <v>0</v>
      </c>
      <c r="AL29" s="53">
        <f t="shared" si="17"/>
        <v>0</v>
      </c>
      <c r="AM29" s="53">
        <f t="shared" si="19"/>
        <v>0</v>
      </c>
      <c r="AN29" s="53" t="e">
        <f>#REF!-AM29</f>
        <v>#REF!</v>
      </c>
      <c r="AO29" s="53"/>
    </row>
    <row r="30" spans="1:43">
      <c r="A30" s="3">
        <v>5609</v>
      </c>
      <c r="B30" s="112" t="s">
        <v>60</v>
      </c>
      <c r="C30" s="130">
        <f>Markaz!C30+Avenue!C30</f>
        <v>0</v>
      </c>
      <c r="D30" s="49">
        <f>C30/C12</f>
        <v>0</v>
      </c>
      <c r="E30" s="130">
        <f>Markaz!E30+Avenue!E30</f>
        <v>0</v>
      </c>
      <c r="F30" s="49">
        <f>E30/E12</f>
        <v>0</v>
      </c>
      <c r="G30" s="130">
        <f>Markaz!G30+Avenue!G30</f>
        <v>0</v>
      </c>
      <c r="H30" s="49">
        <f>G30/G12</f>
        <v>0</v>
      </c>
      <c r="I30" s="130">
        <f>Markaz!I30+Avenue!I30</f>
        <v>0</v>
      </c>
      <c r="J30" s="49">
        <f>I30/I12</f>
        <v>0</v>
      </c>
      <c r="K30" s="130">
        <f>Markaz!K30+Avenue!K30</f>
        <v>0</v>
      </c>
      <c r="L30" s="49">
        <f>K30/K12</f>
        <v>0</v>
      </c>
      <c r="M30" s="130">
        <f>Markaz!M30+Avenue!M30</f>
        <v>0</v>
      </c>
      <c r="N30" s="49">
        <f>M30/M12</f>
        <v>0</v>
      </c>
      <c r="O30" s="130">
        <f>Markaz!O30+Avenue!O30</f>
        <v>0</v>
      </c>
      <c r="P30" s="49">
        <f>O30/O12</f>
        <v>0</v>
      </c>
      <c r="Q30" s="130">
        <f>Markaz!Q30+Avenue!Q30</f>
        <v>0</v>
      </c>
      <c r="R30" s="49">
        <f>Q30/Q12</f>
        <v>0</v>
      </c>
      <c r="S30" s="130">
        <f>Markaz!S30+Avenue!S30</f>
        <v>0</v>
      </c>
      <c r="T30" s="49">
        <f>S30/S12</f>
        <v>0</v>
      </c>
      <c r="U30" s="130">
        <f>Markaz!U30+Avenue!U30</f>
        <v>0</v>
      </c>
      <c r="V30" s="49">
        <f>U30/U12</f>
        <v>0</v>
      </c>
      <c r="W30" s="130">
        <f>Markaz!W30+Avenue!W30</f>
        <v>0</v>
      </c>
      <c r="X30" s="49">
        <f>W30/W12</f>
        <v>0</v>
      </c>
      <c r="Y30" s="130">
        <f>Markaz!Y30+Avenue!Y30</f>
        <v>0</v>
      </c>
      <c r="Z30" s="168">
        <f>Y30/Y12</f>
        <v>0</v>
      </c>
      <c r="AA30" s="275">
        <f t="shared" si="20"/>
        <v>0</v>
      </c>
      <c r="AB30" s="203">
        <f>AA30/AA12</f>
        <v>0</v>
      </c>
      <c r="AC30" s="194">
        <f t="shared" si="14"/>
        <v>0</v>
      </c>
      <c r="AD30" s="203">
        <f>AC30/AC12</f>
        <v>0</v>
      </c>
      <c r="AE30" s="75"/>
      <c r="AF30" s="158"/>
      <c r="AG30" s="75"/>
      <c r="AH30" s="194">
        <v>0</v>
      </c>
      <c r="AI30" s="244">
        <f>AH30/AH12</f>
        <v>0</v>
      </c>
      <c r="AJ30" s="282">
        <f t="shared" si="0"/>
        <v>0</v>
      </c>
      <c r="AK30" s="53">
        <f t="shared" si="1"/>
        <v>0</v>
      </c>
      <c r="AL30" s="53">
        <f t="shared" si="17"/>
        <v>0</v>
      </c>
      <c r="AM30" s="53">
        <f t="shared" si="19"/>
        <v>0</v>
      </c>
      <c r="AN30" s="53" t="e">
        <f>#REF!-AM30</f>
        <v>#REF!</v>
      </c>
      <c r="AO30" s="53"/>
    </row>
    <row r="31" spans="1:43">
      <c r="A31" s="3">
        <v>5610</v>
      </c>
      <c r="B31" s="112" t="s">
        <v>61</v>
      </c>
      <c r="C31" s="130">
        <f>Markaz!C31+Avenue!C31</f>
        <v>0</v>
      </c>
      <c r="D31" s="49">
        <f>C31/C12</f>
        <v>0</v>
      </c>
      <c r="E31" s="130">
        <f>Markaz!E31+Avenue!E31</f>
        <v>0</v>
      </c>
      <c r="F31" s="49">
        <f>E31/E12</f>
        <v>0</v>
      </c>
      <c r="G31" s="130">
        <f>Markaz!G31+Avenue!G31</f>
        <v>0</v>
      </c>
      <c r="H31" s="49">
        <f>G31/G12</f>
        <v>0</v>
      </c>
      <c r="I31" s="130">
        <f>Markaz!I31+Avenue!I31</f>
        <v>0</v>
      </c>
      <c r="J31" s="49">
        <f>I31/I12</f>
        <v>0</v>
      </c>
      <c r="K31" s="130">
        <f>Markaz!K31+Avenue!K31</f>
        <v>0</v>
      </c>
      <c r="L31" s="49">
        <f>K31/K12</f>
        <v>0</v>
      </c>
      <c r="M31" s="130">
        <f>Markaz!M31+Avenue!M31</f>
        <v>0</v>
      </c>
      <c r="N31" s="49">
        <f>M31/M12</f>
        <v>0</v>
      </c>
      <c r="O31" s="130">
        <f>Markaz!O31+Avenue!O31</f>
        <v>0</v>
      </c>
      <c r="P31" s="49">
        <f>O31/O12</f>
        <v>0</v>
      </c>
      <c r="Q31" s="130">
        <f>Markaz!Q31+Avenue!Q31</f>
        <v>0</v>
      </c>
      <c r="R31" s="49">
        <f>Q31/Q12</f>
        <v>0</v>
      </c>
      <c r="S31" s="130">
        <f>Markaz!S31+Avenue!S31</f>
        <v>0</v>
      </c>
      <c r="T31" s="49">
        <f>S31/S12</f>
        <v>0</v>
      </c>
      <c r="U31" s="130">
        <f>Markaz!U31+Avenue!U31</f>
        <v>0</v>
      </c>
      <c r="V31" s="49">
        <f>U31/U12</f>
        <v>0</v>
      </c>
      <c r="W31" s="130">
        <f>Markaz!W31+Avenue!W31</f>
        <v>0</v>
      </c>
      <c r="X31" s="49">
        <f>W31/W12</f>
        <v>0</v>
      </c>
      <c r="Y31" s="130">
        <f>Markaz!Y31+Avenue!Y31</f>
        <v>0</v>
      </c>
      <c r="Z31" s="168">
        <f>Y31/Y12</f>
        <v>0</v>
      </c>
      <c r="AA31" s="275">
        <f t="shared" si="20"/>
        <v>0</v>
      </c>
      <c r="AB31" s="203">
        <f>AA31/AA12</f>
        <v>0</v>
      </c>
      <c r="AC31" s="194">
        <f t="shared" si="14"/>
        <v>0</v>
      </c>
      <c r="AD31" s="203">
        <f>AC31/AC12</f>
        <v>0</v>
      </c>
      <c r="AE31" s="75"/>
      <c r="AF31" s="158"/>
      <c r="AG31" s="75"/>
      <c r="AH31" s="194">
        <v>0</v>
      </c>
      <c r="AI31" s="244">
        <f>AH31/AH12</f>
        <v>0</v>
      </c>
      <c r="AJ31" s="282">
        <f t="shared" si="0"/>
        <v>0</v>
      </c>
      <c r="AK31" s="53">
        <f t="shared" si="1"/>
        <v>0</v>
      </c>
      <c r="AL31" s="53">
        <f t="shared" si="17"/>
        <v>0</v>
      </c>
      <c r="AM31" s="53">
        <f t="shared" si="19"/>
        <v>0</v>
      </c>
      <c r="AN31" s="53" t="e">
        <f>#REF!-AM31</f>
        <v>#REF!</v>
      </c>
      <c r="AO31" s="53"/>
    </row>
    <row r="32" spans="1:43">
      <c r="A32" s="3">
        <v>5611</v>
      </c>
      <c r="B32" s="112" t="s">
        <v>95</v>
      </c>
      <c r="C32" s="130">
        <f>Markaz!C32+Avenue!C32</f>
        <v>0</v>
      </c>
      <c r="D32" s="49">
        <f>C32/C12</f>
        <v>0</v>
      </c>
      <c r="E32" s="130">
        <f>Markaz!E32+Avenue!E32</f>
        <v>0</v>
      </c>
      <c r="F32" s="49">
        <f>E32/E12</f>
        <v>0</v>
      </c>
      <c r="G32" s="130">
        <f>Markaz!G32+Avenue!G32</f>
        <v>0</v>
      </c>
      <c r="H32" s="49">
        <f>G32/G12</f>
        <v>0</v>
      </c>
      <c r="I32" s="130">
        <f>Markaz!I32+Avenue!I32</f>
        <v>0</v>
      </c>
      <c r="J32" s="49">
        <f>I32/I12</f>
        <v>0</v>
      </c>
      <c r="K32" s="130">
        <f>Markaz!K32+Avenue!K32</f>
        <v>0</v>
      </c>
      <c r="L32" s="49">
        <f>K32/K12</f>
        <v>0</v>
      </c>
      <c r="M32" s="130">
        <f>Markaz!M32+Avenue!M32</f>
        <v>0</v>
      </c>
      <c r="N32" s="49">
        <f>M32/M12</f>
        <v>0</v>
      </c>
      <c r="O32" s="130">
        <f>Markaz!O32+Avenue!O32</f>
        <v>0</v>
      </c>
      <c r="P32" s="49">
        <f>O32/O12</f>
        <v>0</v>
      </c>
      <c r="Q32" s="130">
        <f>Markaz!Q32+Avenue!Q32</f>
        <v>0</v>
      </c>
      <c r="R32" s="49">
        <f>Q32/Q12</f>
        <v>0</v>
      </c>
      <c r="S32" s="130">
        <f>Markaz!S32+Avenue!S32</f>
        <v>0</v>
      </c>
      <c r="T32" s="49">
        <f>S32/S12</f>
        <v>0</v>
      </c>
      <c r="U32" s="130">
        <f>Markaz!U32+Avenue!U32</f>
        <v>0</v>
      </c>
      <c r="V32" s="49">
        <f>U32/U12</f>
        <v>0</v>
      </c>
      <c r="W32" s="130">
        <f>Markaz!W32+Avenue!W32</f>
        <v>0</v>
      </c>
      <c r="X32" s="49">
        <f>W32/W12</f>
        <v>0</v>
      </c>
      <c r="Y32" s="130">
        <f>Markaz!Y32+Avenue!Y32</f>
        <v>0</v>
      </c>
      <c r="Z32" s="168">
        <f>Y32/Y12</f>
        <v>0</v>
      </c>
      <c r="AA32" s="275">
        <f t="shared" si="20"/>
        <v>0</v>
      </c>
      <c r="AB32" s="203">
        <f>AA32/AA12</f>
        <v>0</v>
      </c>
      <c r="AC32" s="194">
        <f t="shared" si="14"/>
        <v>0</v>
      </c>
      <c r="AD32" s="203">
        <f>AC32/AC12</f>
        <v>0</v>
      </c>
      <c r="AE32" s="75"/>
      <c r="AF32" s="158"/>
      <c r="AG32" s="75"/>
      <c r="AH32" s="194">
        <v>0</v>
      </c>
      <c r="AI32" s="244">
        <f>AH32/AH12</f>
        <v>0</v>
      </c>
      <c r="AJ32" s="282">
        <f t="shared" si="0"/>
        <v>0</v>
      </c>
      <c r="AK32" s="53">
        <f t="shared" si="1"/>
        <v>0</v>
      </c>
      <c r="AL32" s="53">
        <f t="shared" si="17"/>
        <v>0</v>
      </c>
      <c r="AM32" s="53">
        <f t="shared" si="19"/>
        <v>0</v>
      </c>
      <c r="AN32" s="53" t="e">
        <f>#REF!-AM32</f>
        <v>#REF!</v>
      </c>
      <c r="AO32" s="53"/>
    </row>
    <row r="33" spans="1:41">
      <c r="A33" s="3">
        <v>5612</v>
      </c>
      <c r="B33" s="112" t="s">
        <v>220</v>
      </c>
      <c r="C33" s="130">
        <f>Markaz!C33+Avenue!C33</f>
        <v>0</v>
      </c>
      <c r="D33" s="49">
        <f>C33/C12</f>
        <v>0</v>
      </c>
      <c r="E33" s="130">
        <f>Markaz!E33+Avenue!E33</f>
        <v>0</v>
      </c>
      <c r="F33" s="49">
        <f>E33/E12</f>
        <v>0</v>
      </c>
      <c r="G33" s="130">
        <f>Markaz!G33+Avenue!G33</f>
        <v>0</v>
      </c>
      <c r="H33" s="49">
        <f>G33/G12</f>
        <v>0</v>
      </c>
      <c r="I33" s="130">
        <f>Markaz!I33+Avenue!I33</f>
        <v>0</v>
      </c>
      <c r="J33" s="49">
        <f>I33/I12</f>
        <v>0</v>
      </c>
      <c r="K33" s="130">
        <f>Markaz!K33+Avenue!K33</f>
        <v>0</v>
      </c>
      <c r="L33" s="49">
        <f>K33/K12</f>
        <v>0</v>
      </c>
      <c r="M33" s="130">
        <f>Markaz!M33+Avenue!M33</f>
        <v>0</v>
      </c>
      <c r="N33" s="49">
        <f>M33/M12</f>
        <v>0</v>
      </c>
      <c r="O33" s="130">
        <f>Markaz!O33+Avenue!O33</f>
        <v>0</v>
      </c>
      <c r="P33" s="49">
        <f>O33/O12</f>
        <v>0</v>
      </c>
      <c r="Q33" s="130">
        <f>Markaz!Q33+Avenue!Q33</f>
        <v>0</v>
      </c>
      <c r="R33" s="49">
        <f>Q33/Q12</f>
        <v>0</v>
      </c>
      <c r="S33" s="130">
        <f>Markaz!S33+Avenue!S33</f>
        <v>0</v>
      </c>
      <c r="T33" s="49">
        <f>S33/S12</f>
        <v>0</v>
      </c>
      <c r="U33" s="130">
        <f>Markaz!U33+Avenue!U33</f>
        <v>0</v>
      </c>
      <c r="V33" s="49">
        <f>U33/U12</f>
        <v>0</v>
      </c>
      <c r="W33" s="130">
        <f>Markaz!W33+Avenue!W33</f>
        <v>0</v>
      </c>
      <c r="X33" s="49">
        <f>W33/W12</f>
        <v>0</v>
      </c>
      <c r="Y33" s="130">
        <f>Markaz!Y33+Avenue!Y33</f>
        <v>0</v>
      </c>
      <c r="Z33" s="168">
        <f>Y33/Y12</f>
        <v>0</v>
      </c>
      <c r="AA33" s="275">
        <f t="shared" si="20"/>
        <v>0</v>
      </c>
      <c r="AB33" s="203">
        <f>AA33/AA12</f>
        <v>0</v>
      </c>
      <c r="AC33" s="194">
        <f t="shared" si="14"/>
        <v>0</v>
      </c>
      <c r="AD33" s="203">
        <f>AC33/AC12</f>
        <v>0</v>
      </c>
      <c r="AE33" s="75"/>
      <c r="AF33" s="158"/>
      <c r="AG33" s="75"/>
      <c r="AH33" s="194">
        <v>0</v>
      </c>
      <c r="AI33" s="244">
        <f>AH33/AH12</f>
        <v>0</v>
      </c>
      <c r="AJ33" s="282">
        <f t="shared" si="0"/>
        <v>0</v>
      </c>
      <c r="AK33" s="53">
        <f t="shared" si="1"/>
        <v>0</v>
      </c>
      <c r="AL33" s="53">
        <f t="shared" si="17"/>
        <v>0</v>
      </c>
      <c r="AM33" s="53">
        <f t="shared" si="19"/>
        <v>0</v>
      </c>
      <c r="AN33" s="53" t="e">
        <f>#REF!-AM33</f>
        <v>#REF!</v>
      </c>
      <c r="AO33" s="53"/>
    </row>
    <row r="34" spans="1:41">
      <c r="A34" s="3">
        <v>5613</v>
      </c>
      <c r="B34" s="112" t="s">
        <v>63</v>
      </c>
      <c r="C34" s="130">
        <f>Markaz!C34+Avenue!C34</f>
        <v>0</v>
      </c>
      <c r="D34" s="49">
        <f>C34/C12</f>
        <v>0</v>
      </c>
      <c r="E34" s="130">
        <f>Markaz!E34+Avenue!E34</f>
        <v>0</v>
      </c>
      <c r="F34" s="49">
        <f>E34/E12</f>
        <v>0</v>
      </c>
      <c r="G34" s="130">
        <f>Markaz!G34+Avenue!G34</f>
        <v>0</v>
      </c>
      <c r="H34" s="49">
        <f>G34/G12</f>
        <v>0</v>
      </c>
      <c r="I34" s="130">
        <f>Markaz!I34+Avenue!I34</f>
        <v>0</v>
      </c>
      <c r="J34" s="49">
        <f>I34/I12</f>
        <v>0</v>
      </c>
      <c r="K34" s="130">
        <f>Markaz!K34+Avenue!K34</f>
        <v>0</v>
      </c>
      <c r="L34" s="49">
        <f>K34/K12</f>
        <v>0</v>
      </c>
      <c r="M34" s="130">
        <f>Markaz!M34+Avenue!M34</f>
        <v>0</v>
      </c>
      <c r="N34" s="49">
        <f>M34/M12</f>
        <v>0</v>
      </c>
      <c r="O34" s="130">
        <f>Markaz!O34+Avenue!O34</f>
        <v>0</v>
      </c>
      <c r="P34" s="49">
        <f>O34/O12</f>
        <v>0</v>
      </c>
      <c r="Q34" s="130">
        <f>Markaz!Q34+Avenue!Q34</f>
        <v>0</v>
      </c>
      <c r="R34" s="49">
        <f>Q34/Q12</f>
        <v>0</v>
      </c>
      <c r="S34" s="130">
        <f>Markaz!S34+Avenue!S34</f>
        <v>0</v>
      </c>
      <c r="T34" s="49">
        <f>S34/S12</f>
        <v>0</v>
      </c>
      <c r="U34" s="130">
        <f>Markaz!U34+Avenue!U34</f>
        <v>0</v>
      </c>
      <c r="V34" s="49">
        <f>U34/U12</f>
        <v>0</v>
      </c>
      <c r="W34" s="130">
        <f>Markaz!W34+Avenue!W34</f>
        <v>0</v>
      </c>
      <c r="X34" s="49">
        <f>W34/W12</f>
        <v>0</v>
      </c>
      <c r="Y34" s="130">
        <f>Markaz!Y34+Avenue!Y34</f>
        <v>0</v>
      </c>
      <c r="Z34" s="168">
        <f>Y34/Y12</f>
        <v>0</v>
      </c>
      <c r="AA34" s="275">
        <f t="shared" si="20"/>
        <v>0</v>
      </c>
      <c r="AB34" s="203">
        <f>AA34/AA12</f>
        <v>0</v>
      </c>
      <c r="AC34" s="194">
        <f t="shared" si="14"/>
        <v>0</v>
      </c>
      <c r="AD34" s="203">
        <f>AC34/AC12</f>
        <v>0</v>
      </c>
      <c r="AE34" s="75"/>
      <c r="AF34" s="158"/>
      <c r="AG34" s="75"/>
      <c r="AH34" s="194">
        <v>0</v>
      </c>
      <c r="AI34" s="244">
        <f>AH34/AH12</f>
        <v>0</v>
      </c>
      <c r="AJ34" s="282">
        <f t="shared" si="0"/>
        <v>0</v>
      </c>
      <c r="AK34" s="53">
        <f t="shared" si="1"/>
        <v>0</v>
      </c>
      <c r="AL34" s="53">
        <f t="shared" si="17"/>
        <v>0</v>
      </c>
      <c r="AM34" s="53">
        <f t="shared" si="19"/>
        <v>0</v>
      </c>
      <c r="AN34" s="53" t="e">
        <f>#REF!-AM34</f>
        <v>#REF!</v>
      </c>
      <c r="AO34" s="53"/>
    </row>
    <row r="35" spans="1:41">
      <c r="A35" s="8">
        <v>5699</v>
      </c>
      <c r="B35" s="113" t="s">
        <v>96</v>
      </c>
      <c r="C35" s="29">
        <f>Markaz!C35+Avenue!C35</f>
        <v>938.93557600000008</v>
      </c>
      <c r="D35" s="66">
        <f>C35/C12</f>
        <v>3.5912399555038171E-3</v>
      </c>
      <c r="E35" s="29">
        <f>Markaz!E35+Avenue!E35</f>
        <v>741.59325149539245</v>
      </c>
      <c r="F35" s="66">
        <f>E35/E12</f>
        <v>3.6458092233150321E-3</v>
      </c>
      <c r="G35" s="29">
        <f>Markaz!G35+Avenue!G35</f>
        <v>1197.1994227817031</v>
      </c>
      <c r="H35" s="66">
        <f>G35/G12</f>
        <v>3.5481869643795567E-3</v>
      </c>
      <c r="I35" s="29">
        <f>Markaz!I35+Avenue!I35</f>
        <v>1062.9705056841303</v>
      </c>
      <c r="J35" s="66">
        <f>I35/I12</f>
        <v>3.5678232476129071E-3</v>
      </c>
      <c r="K35" s="29">
        <f>Markaz!K35+Avenue!K35</f>
        <v>976.46472577328245</v>
      </c>
      <c r="L35" s="66">
        <f>K35/K12</f>
        <v>3.5834932245888884E-3</v>
      </c>
      <c r="M35" s="29">
        <f>Markaz!M35+Avenue!M35</f>
        <v>1363.7141428072343</v>
      </c>
      <c r="N35" s="66">
        <f>M35/M12</f>
        <v>3.5294041028109298E-3</v>
      </c>
      <c r="O35" s="29">
        <f>Markaz!O35+Avenue!O35</f>
        <v>881.72625263208351</v>
      </c>
      <c r="P35" s="66">
        <f>O35/O12</f>
        <v>3.604394173518051E-3</v>
      </c>
      <c r="Q35" s="29">
        <f>Markaz!Q35+Avenue!Q35</f>
        <v>1082.7869576457676</v>
      </c>
      <c r="R35" s="66">
        <f>Q35/Q12</f>
        <v>3.5646031630642535E-3</v>
      </c>
      <c r="S35" s="29">
        <f>Markaz!S35+Avenue!S35</f>
        <v>1090.4081774308956</v>
      </c>
      <c r="T35" s="66">
        <f>S35/S12</f>
        <v>3.5633974085245899E-3</v>
      </c>
      <c r="U35" s="29">
        <f>Markaz!U35+Avenue!U35</f>
        <v>875.25855943983993</v>
      </c>
      <c r="V35" s="66">
        <f>U35/U12</f>
        <v>3.605996045791262E-3</v>
      </c>
      <c r="W35" s="29">
        <f>Markaz!W35+Avenue!W35</f>
        <v>889.65233080082976</v>
      </c>
      <c r="X35" s="66">
        <f>W35/W12</f>
        <v>3.6024647509021505E-3</v>
      </c>
      <c r="Y35" s="29">
        <f>Markaz!Y35+Avenue!Y35</f>
        <v>1318.4321139280073</v>
      </c>
      <c r="Z35" s="213">
        <f>Y35/Y12</f>
        <v>3.5340237275084075E-3</v>
      </c>
      <c r="AA35" s="200">
        <f>SUM(AA22:AA34)</f>
        <v>12419.142016419168</v>
      </c>
      <c r="AB35" s="234">
        <f>AA35/AA12</f>
        <v>3.5726013611788432E-3</v>
      </c>
      <c r="AC35" s="235">
        <f t="shared" si="14"/>
        <v>1034.9285013682641</v>
      </c>
      <c r="AD35" s="234">
        <f>AC35/AC12</f>
        <v>3.5726013611788437E-3</v>
      </c>
      <c r="AE35" s="75"/>
      <c r="AF35" s="158"/>
      <c r="AG35" s="75"/>
      <c r="AH35" s="235">
        <f>SUM(AH22:AH34)</f>
        <v>12419.142016419168</v>
      </c>
      <c r="AI35" s="248">
        <f>AH35/AH12</f>
        <v>1.5423096137693264E-2</v>
      </c>
      <c r="AJ35" s="286">
        <f t="shared" si="0"/>
        <v>25873.212534206599</v>
      </c>
      <c r="AK35" s="53">
        <f t="shared" si="1"/>
        <v>0</v>
      </c>
      <c r="AL35" s="53">
        <f t="shared" si="17"/>
        <v>12419.142016419168</v>
      </c>
      <c r="AM35" s="53">
        <f t="shared" si="19"/>
        <v>100942.96397588348</v>
      </c>
      <c r="AN35" s="53" t="e">
        <f>#REF!-AM35</f>
        <v>#REF!</v>
      </c>
      <c r="AO35" s="53"/>
    </row>
    <row r="36" spans="1:41">
      <c r="A36" s="8">
        <v>5999</v>
      </c>
      <c r="B36" s="113" t="s">
        <v>97</v>
      </c>
      <c r="C36" s="29">
        <f>Markaz!C36+Avenue!C36</f>
        <v>134959.02223999999</v>
      </c>
      <c r="D36" s="66">
        <f>C36/C12</f>
        <v>0.51619114816032508</v>
      </c>
      <c r="E36" s="29">
        <f>Markaz!E36+Avenue!E36</f>
        <v>92224.840378750043</v>
      </c>
      <c r="F36" s="66">
        <f>E36/E12</f>
        <v>0.453394327677067</v>
      </c>
      <c r="G36" s="29">
        <f>Markaz!G36+Avenue!G36</f>
        <v>168182.29175650666</v>
      </c>
      <c r="H36" s="66">
        <f>G36/G12</f>
        <v>0.49844846555587263</v>
      </c>
      <c r="I36" s="29">
        <f>Markaz!I36+Avenue!I36</f>
        <v>139224.02081250938</v>
      </c>
      <c r="J36" s="66">
        <f>I36/I12</f>
        <v>0.46730054636964713</v>
      </c>
      <c r="K36" s="29">
        <f>Markaz!K36+Avenue!K36</f>
        <v>120853.52293244228</v>
      </c>
      <c r="L36" s="66">
        <f>K36/K12</f>
        <v>0.44351605251602061</v>
      </c>
      <c r="M36" s="29">
        <f>Markaz!M36+Avenue!M36</f>
        <v>202123.60190171769</v>
      </c>
      <c r="N36" s="66">
        <f>M36/M12</f>
        <v>0.52311246722010685</v>
      </c>
      <c r="O36" s="29">
        <f>Markaz!O36+Avenue!O36</f>
        <v>109273.25209583293</v>
      </c>
      <c r="P36" s="66">
        <f>O36/O12</f>
        <v>0.44669632099514711</v>
      </c>
      <c r="Q36" s="29">
        <f>Markaz!Q36+Avenue!Q36</f>
        <v>137457.90283197889</v>
      </c>
      <c r="R36" s="66">
        <f>Q36/Q12</f>
        <v>0.45252011188644925</v>
      </c>
      <c r="S36" s="29">
        <f>Markaz!S36+Avenue!S36</f>
        <v>139261.27754396497</v>
      </c>
      <c r="T36" s="66">
        <f>S36/S12</f>
        <v>0.4550986371701507</v>
      </c>
      <c r="U36" s="29">
        <f>Markaz!U36+Avenue!U36</f>
        <v>120375.58060698253</v>
      </c>
      <c r="V36" s="66">
        <f>U36/U12</f>
        <v>0.49593787229731395</v>
      </c>
      <c r="W36" s="29">
        <f>Markaz!W36+Avenue!W36</f>
        <v>114464.32650668881</v>
      </c>
      <c r="X36" s="66">
        <f>W36/W12</f>
        <v>0.46349982706718329</v>
      </c>
      <c r="Y36" s="29">
        <f>Markaz!Y36+Avenue!Y36</f>
        <v>195195.7420330926</v>
      </c>
      <c r="Z36" s="213">
        <f>Y36/Y12</f>
        <v>0.52321721882089045</v>
      </c>
      <c r="AA36" s="200">
        <f>AA21+AA35</f>
        <v>1673595.3816404669</v>
      </c>
      <c r="AB36" s="234">
        <f>AA36/AA12</f>
        <v>0.48144140155628229</v>
      </c>
      <c r="AC36" s="235">
        <f t="shared" si="14"/>
        <v>139466.28180337223</v>
      </c>
      <c r="AD36" s="234">
        <f>AC36/AC12</f>
        <v>0.48144140155628229</v>
      </c>
      <c r="AE36" s="75"/>
      <c r="AF36" s="158"/>
      <c r="AG36" s="75"/>
      <c r="AH36" s="235">
        <f>AH35+AH21</f>
        <v>415034.21701641916</v>
      </c>
      <c r="AI36" s="248">
        <f>AH36/AH12</f>
        <v>0.51542309613769322</v>
      </c>
      <c r="AJ36" s="286">
        <f t="shared" si="0"/>
        <v>2228095.8804602586</v>
      </c>
      <c r="AK36" s="53">
        <f t="shared" si="1"/>
        <v>0</v>
      </c>
      <c r="AL36" s="53">
        <f t="shared" si="17"/>
        <v>1673595.3816404669</v>
      </c>
      <c r="AM36" s="53">
        <f t="shared" si="19"/>
        <v>13596268.278804138</v>
      </c>
      <c r="AN36" s="53" t="e">
        <f>#REF!-AM36</f>
        <v>#REF!</v>
      </c>
      <c r="AO36" s="53"/>
    </row>
    <row r="37" spans="1:41" ht="15.75" thickBot="1">
      <c r="A37" s="9"/>
      <c r="B37" s="114" t="s">
        <v>69</v>
      </c>
      <c r="C37" s="28">
        <f>Markaz!C37+Avenue!C37</f>
        <v>126492.61776000001</v>
      </c>
      <c r="D37" s="67">
        <f>C37/C12</f>
        <v>0.48380885183967481</v>
      </c>
      <c r="E37" s="28">
        <f>Markaz!E37+Avenue!E37</f>
        <v>111184.93947283596</v>
      </c>
      <c r="F37" s="67">
        <f>E37/E12</f>
        <v>0.546605672322933</v>
      </c>
      <c r="G37" s="28">
        <f>Markaz!G37+Avenue!G37</f>
        <v>169229.30317928834</v>
      </c>
      <c r="H37" s="67">
        <f>G37/G12</f>
        <v>0.50155153444412737</v>
      </c>
      <c r="I37" s="28">
        <f>Markaz!I37+Avenue!I37</f>
        <v>158708.48085929366</v>
      </c>
      <c r="J37" s="67">
        <f>I37/I12</f>
        <v>0.53269945363035276</v>
      </c>
      <c r="K37" s="28">
        <f>Markaz!K37+Avenue!K37</f>
        <v>151636.10229499373</v>
      </c>
      <c r="L37" s="67">
        <f>K37/K12</f>
        <v>0.55648394748397945</v>
      </c>
      <c r="M37" s="28">
        <f>Markaz!M37+Avenue!M37</f>
        <v>184262.91068864532</v>
      </c>
      <c r="N37" s="67">
        <f>M37/M12</f>
        <v>0.4768875327798931</v>
      </c>
      <c r="O37" s="28">
        <f>Markaz!O37+Avenue!O37</f>
        <v>135352.11632536809</v>
      </c>
      <c r="P37" s="67">
        <f>O37/O12</f>
        <v>0.55330367900485289</v>
      </c>
      <c r="Q37" s="28">
        <f>Markaz!Q37+Avenue!Q37</f>
        <v>166302.96706383509</v>
      </c>
      <c r="R37" s="67">
        <f>Q37/Q12</f>
        <v>0.54747988811355075</v>
      </c>
      <c r="S37" s="28">
        <f>Markaz!S37+Avenue!S37</f>
        <v>166741.12758276903</v>
      </c>
      <c r="T37" s="67">
        <f>S37/S12</f>
        <v>0.54490136282984936</v>
      </c>
      <c r="U37" s="28">
        <f>Markaz!U37+Avenue!U37</f>
        <v>122347.52511061744</v>
      </c>
      <c r="V37" s="67">
        <f>U37/U12</f>
        <v>0.50406212770268599</v>
      </c>
      <c r="W37" s="28">
        <f>Markaz!W37+Avenue!W37</f>
        <v>132492.24137590817</v>
      </c>
      <c r="X37" s="67">
        <f>W37/W12</f>
        <v>0.53650017293281671</v>
      </c>
      <c r="Y37" s="28">
        <f>Markaz!Y37+Avenue!Y37</f>
        <v>177872.52676926242</v>
      </c>
      <c r="Z37" s="214">
        <f>Y37/Y12</f>
        <v>0.47678278117910944</v>
      </c>
      <c r="AA37" s="277">
        <f>(AA16-AA36)</f>
        <v>1802622.8584828172</v>
      </c>
      <c r="AB37" s="236">
        <f>AA37/AA12</f>
        <v>0.51855859844371777</v>
      </c>
      <c r="AC37" s="232">
        <f t="shared" si="14"/>
        <v>150218.57154023476</v>
      </c>
      <c r="AD37" s="236">
        <f>AC37/AC12</f>
        <v>0.51855859844371777</v>
      </c>
      <c r="AE37" s="75"/>
      <c r="AF37" s="158"/>
      <c r="AG37" s="75"/>
      <c r="AH37" s="232">
        <f>(AH16-AH36)</f>
        <v>390195.93298358086</v>
      </c>
      <c r="AI37" s="249">
        <f>AH37/AH12</f>
        <v>0.48457690386230673</v>
      </c>
      <c r="AJ37" s="287">
        <f t="shared" ref="AJ37:AJ68" si="21">SUM(AA37+AC37+AH37)</f>
        <v>2343037.3630066328</v>
      </c>
      <c r="AK37" s="53">
        <f t="shared" ref="AK37:AK68" si="22">AA37-AL37</f>
        <v>0</v>
      </c>
      <c r="AL37" s="53">
        <f t="shared" si="17"/>
        <v>1802622.8584828172</v>
      </c>
      <c r="AM37" s="53">
        <f t="shared" si="19"/>
        <v>14710485.831749825</v>
      </c>
      <c r="AN37" s="53" t="e">
        <f>#REF!-AM37</f>
        <v>#REF!</v>
      </c>
      <c r="AO37" s="53"/>
    </row>
    <row r="38" spans="1:41" ht="15.75" thickTop="1">
      <c r="A38" s="2">
        <v>6002</v>
      </c>
      <c r="B38" s="108" t="s">
        <v>46</v>
      </c>
      <c r="C38" s="130">
        <f>Markaz!C38+Avenue!C38</f>
        <v>0</v>
      </c>
      <c r="D38" s="49">
        <f>C38/C12</f>
        <v>0</v>
      </c>
      <c r="E38" s="130">
        <f>Markaz!E38+Avenue!E38</f>
        <v>0</v>
      </c>
      <c r="F38" s="49">
        <f>E38/E12</f>
        <v>0</v>
      </c>
      <c r="G38" s="130">
        <f>Markaz!G38+Avenue!G38</f>
        <v>0</v>
      </c>
      <c r="H38" s="49">
        <f>G38/G12</f>
        <v>0</v>
      </c>
      <c r="I38" s="130">
        <f>Markaz!I38+Avenue!I38</f>
        <v>0</v>
      </c>
      <c r="J38" s="49">
        <f>I38/I12</f>
        <v>0</v>
      </c>
      <c r="K38" s="130">
        <f>Markaz!K38+Avenue!K38</f>
        <v>0</v>
      </c>
      <c r="L38" s="49">
        <f>K38/K12</f>
        <v>0</v>
      </c>
      <c r="M38" s="130">
        <f>Markaz!M38+Avenue!M38</f>
        <v>0</v>
      </c>
      <c r="N38" s="49">
        <f>M38/M12</f>
        <v>0</v>
      </c>
      <c r="O38" s="130">
        <f>Markaz!O38+Avenue!O38</f>
        <v>0</v>
      </c>
      <c r="P38" s="49">
        <f>O38/O12</f>
        <v>0</v>
      </c>
      <c r="Q38" s="130">
        <f>Markaz!Q38+Avenue!Q38</f>
        <v>0</v>
      </c>
      <c r="R38" s="49">
        <f>Q38/Q12</f>
        <v>0</v>
      </c>
      <c r="S38" s="130">
        <f>Markaz!S38+Avenue!S38</f>
        <v>0</v>
      </c>
      <c r="T38" s="49">
        <f>S38/S12</f>
        <v>0</v>
      </c>
      <c r="U38" s="130">
        <f>Markaz!U38+Avenue!U38</f>
        <v>0</v>
      </c>
      <c r="V38" s="49">
        <f>U38/U12</f>
        <v>0</v>
      </c>
      <c r="W38" s="130">
        <f>Markaz!W38+Avenue!W38</f>
        <v>0</v>
      </c>
      <c r="X38" s="49">
        <f>W38/W12</f>
        <v>0</v>
      </c>
      <c r="Y38" s="130">
        <f>Markaz!Y38+Avenue!Y38</f>
        <v>0</v>
      </c>
      <c r="Z38" s="168">
        <f>Y38/Y12</f>
        <v>0</v>
      </c>
      <c r="AA38" s="275">
        <f>C38+E38+G38+I38+K38+M38+O38+Q38+S38+U38+W38+Y38</f>
        <v>0</v>
      </c>
      <c r="AB38" s="203">
        <f>AA38/AA12</f>
        <v>0</v>
      </c>
      <c r="AC38" s="194">
        <f t="shared" si="14"/>
        <v>0</v>
      </c>
      <c r="AD38" s="203">
        <f>AC38/AC12</f>
        <v>0</v>
      </c>
      <c r="AE38" s="75"/>
      <c r="AF38" s="158"/>
      <c r="AG38" s="75"/>
      <c r="AH38" s="194">
        <v>0</v>
      </c>
      <c r="AI38" s="244">
        <f>AH38/AH12</f>
        <v>0</v>
      </c>
      <c r="AJ38" s="282">
        <f t="shared" si="21"/>
        <v>0</v>
      </c>
      <c r="AK38" s="53">
        <f t="shared" si="22"/>
        <v>0</v>
      </c>
      <c r="AL38" s="53">
        <f t="shared" si="17"/>
        <v>0</v>
      </c>
      <c r="AM38" s="53">
        <f t="shared" si="19"/>
        <v>0</v>
      </c>
      <c r="AN38" s="53" t="e">
        <f>#REF!-AM38</f>
        <v>#REF!</v>
      </c>
      <c r="AO38" s="53"/>
    </row>
    <row r="39" spans="1:41">
      <c r="A39" s="2">
        <v>6003</v>
      </c>
      <c r="B39" s="2" t="s">
        <v>0</v>
      </c>
      <c r="C39" s="18">
        <f>Markaz!C39+Avenue!C39</f>
        <v>0</v>
      </c>
      <c r="D39" s="49">
        <f>C39/C12</f>
        <v>0</v>
      </c>
      <c r="E39" s="18">
        <f>Markaz!E39+Avenue!E39</f>
        <v>0</v>
      </c>
      <c r="F39" s="49">
        <f>E39/E12</f>
        <v>0</v>
      </c>
      <c r="G39" s="18">
        <f>Markaz!G39+Avenue!G39</f>
        <v>0</v>
      </c>
      <c r="H39" s="49">
        <f>G39/G12</f>
        <v>0</v>
      </c>
      <c r="I39" s="18">
        <f>Markaz!I39+Avenue!I39</f>
        <v>0</v>
      </c>
      <c r="J39" s="49">
        <f>I39/I12</f>
        <v>0</v>
      </c>
      <c r="K39" s="18">
        <f>Markaz!K39+Avenue!K39</f>
        <v>0</v>
      </c>
      <c r="L39" s="49">
        <f>K39/K12</f>
        <v>0</v>
      </c>
      <c r="M39" s="18">
        <f>Markaz!M39+Avenue!M39</f>
        <v>0</v>
      </c>
      <c r="N39" s="49">
        <f>M39/M12</f>
        <v>0</v>
      </c>
      <c r="O39" s="18">
        <f>Markaz!O39+Avenue!O39</f>
        <v>0</v>
      </c>
      <c r="P39" s="49">
        <f>O39/O12</f>
        <v>0</v>
      </c>
      <c r="Q39" s="18">
        <f>Markaz!Q39+Avenue!Q39</f>
        <v>0</v>
      </c>
      <c r="R39" s="49">
        <f>Q39/Q12</f>
        <v>0</v>
      </c>
      <c r="S39" s="18">
        <f>Markaz!S39+Avenue!S39</f>
        <v>0</v>
      </c>
      <c r="T39" s="49">
        <f>S39/S12</f>
        <v>0</v>
      </c>
      <c r="U39" s="18">
        <f>Markaz!U39+Avenue!U39</f>
        <v>0</v>
      </c>
      <c r="V39" s="49">
        <f>U39/U12</f>
        <v>0</v>
      </c>
      <c r="W39" s="18">
        <f>Markaz!W39+Avenue!W39</f>
        <v>0</v>
      </c>
      <c r="X39" s="49">
        <f>W39/W12</f>
        <v>0</v>
      </c>
      <c r="Y39" s="18">
        <f>Markaz!Y39+Avenue!Y39</f>
        <v>0</v>
      </c>
      <c r="Z39" s="168">
        <f>Y39/Y12</f>
        <v>0</v>
      </c>
      <c r="AA39" s="275">
        <f>C39+E39+G39+I39+K39+M39+O39+Q39+S39+U39+W39+Y39</f>
        <v>0</v>
      </c>
      <c r="AB39" s="203">
        <f>AA39/AA12</f>
        <v>0</v>
      </c>
      <c r="AC39" s="194">
        <f t="shared" si="14"/>
        <v>0</v>
      </c>
      <c r="AD39" s="203">
        <f>AC39/AC12</f>
        <v>0</v>
      </c>
      <c r="AE39" s="75"/>
      <c r="AF39" s="158"/>
      <c r="AG39" s="75"/>
      <c r="AH39" s="194">
        <v>0</v>
      </c>
      <c r="AI39" s="244">
        <f>AH39/AH12</f>
        <v>0</v>
      </c>
      <c r="AJ39" s="282">
        <f t="shared" si="21"/>
        <v>0</v>
      </c>
      <c r="AK39" s="53">
        <f t="shared" si="22"/>
        <v>0</v>
      </c>
      <c r="AL39" s="53">
        <f t="shared" si="17"/>
        <v>0</v>
      </c>
      <c r="AM39" s="53">
        <f t="shared" si="19"/>
        <v>0</v>
      </c>
      <c r="AN39" s="53" t="e">
        <f>#REF!-AM39</f>
        <v>#REF!</v>
      </c>
      <c r="AO39" s="53"/>
    </row>
    <row r="40" spans="1:41">
      <c r="A40" s="2">
        <v>6004</v>
      </c>
      <c r="B40" s="108" t="s">
        <v>1</v>
      </c>
      <c r="C40" s="130">
        <f>Markaz!C40+Avenue!C40</f>
        <v>0</v>
      </c>
      <c r="D40" s="49">
        <f>C40/C12</f>
        <v>0</v>
      </c>
      <c r="E40" s="130">
        <f>Markaz!E40+Avenue!E40</f>
        <v>0</v>
      </c>
      <c r="F40" s="49">
        <f>E40/E12</f>
        <v>0</v>
      </c>
      <c r="G40" s="130">
        <f>Markaz!G40+Avenue!G40</f>
        <v>0</v>
      </c>
      <c r="H40" s="49">
        <f>G40/G12</f>
        <v>0</v>
      </c>
      <c r="I40" s="130">
        <f>Markaz!I40+Avenue!I40</f>
        <v>0</v>
      </c>
      <c r="J40" s="49">
        <f>I40/I12</f>
        <v>0</v>
      </c>
      <c r="K40" s="130">
        <f>Markaz!K40+Avenue!K40</f>
        <v>0</v>
      </c>
      <c r="L40" s="49">
        <f>K40/K12</f>
        <v>0</v>
      </c>
      <c r="M40" s="130">
        <f>Markaz!M40+Avenue!M40</f>
        <v>0</v>
      </c>
      <c r="N40" s="49">
        <f>M40/M12</f>
        <v>0</v>
      </c>
      <c r="O40" s="130">
        <f>Markaz!O40+Avenue!O40</f>
        <v>0</v>
      </c>
      <c r="P40" s="49">
        <f>O40/O12</f>
        <v>0</v>
      </c>
      <c r="Q40" s="130">
        <f>Markaz!Q40+Avenue!Q40</f>
        <v>0</v>
      </c>
      <c r="R40" s="49">
        <f>Q40/Q12</f>
        <v>0</v>
      </c>
      <c r="S40" s="130">
        <f>Markaz!S40+Avenue!S40</f>
        <v>0</v>
      </c>
      <c r="T40" s="49">
        <f>S40/S12</f>
        <v>0</v>
      </c>
      <c r="U40" s="130">
        <f>Markaz!U40+Avenue!U40</f>
        <v>0</v>
      </c>
      <c r="V40" s="49">
        <f>U40/U12</f>
        <v>0</v>
      </c>
      <c r="W40" s="130">
        <f>Markaz!W40+Avenue!W40</f>
        <v>0</v>
      </c>
      <c r="X40" s="49">
        <f>W40/W12</f>
        <v>0</v>
      </c>
      <c r="Y40" s="130">
        <f>Markaz!Y40+Avenue!Y40</f>
        <v>0</v>
      </c>
      <c r="Z40" s="168">
        <f>Y40/Y12</f>
        <v>0</v>
      </c>
      <c r="AA40" s="275">
        <f>C40+E40+G40+I40+K40+M40+O40+Q40+S40+U40+W40+Y40</f>
        <v>0</v>
      </c>
      <c r="AB40" s="203">
        <f>AA40/AA12</f>
        <v>0</v>
      </c>
      <c r="AC40" s="194">
        <f t="shared" si="14"/>
        <v>0</v>
      </c>
      <c r="AD40" s="203">
        <f>AC40/AC12</f>
        <v>0</v>
      </c>
      <c r="AE40" s="75"/>
      <c r="AF40" s="158"/>
      <c r="AG40" s="75"/>
      <c r="AH40" s="194">
        <v>0</v>
      </c>
      <c r="AI40" s="244">
        <f>AH40/AH12</f>
        <v>0</v>
      </c>
      <c r="AJ40" s="282">
        <f t="shared" si="21"/>
        <v>0</v>
      </c>
      <c r="AK40" s="53">
        <f t="shared" si="22"/>
        <v>0</v>
      </c>
      <c r="AL40" s="53">
        <f t="shared" si="17"/>
        <v>0</v>
      </c>
      <c r="AM40" s="53">
        <f t="shared" si="19"/>
        <v>0</v>
      </c>
      <c r="AN40" s="53" t="e">
        <f>#REF!-AM40</f>
        <v>#REF!</v>
      </c>
      <c r="AO40" s="53"/>
    </row>
    <row r="41" spans="1:41" ht="15.75" thickBot="1">
      <c r="A41" s="4">
        <v>6099</v>
      </c>
      <c r="B41" s="109" t="s">
        <v>98</v>
      </c>
      <c r="C41" s="27">
        <f>Markaz!C41+Avenue!C41</f>
        <v>0</v>
      </c>
      <c r="D41" s="68">
        <f>C41/C12</f>
        <v>0</v>
      </c>
      <c r="E41" s="27">
        <f>Markaz!E41+Avenue!E41</f>
        <v>0</v>
      </c>
      <c r="F41" s="68">
        <f>E41/E12</f>
        <v>0</v>
      </c>
      <c r="G41" s="27">
        <f>Markaz!G41+Avenue!G41</f>
        <v>0</v>
      </c>
      <c r="H41" s="68">
        <f>G41/G12</f>
        <v>0</v>
      </c>
      <c r="I41" s="27">
        <f>Markaz!I41+Avenue!I41</f>
        <v>0</v>
      </c>
      <c r="J41" s="68">
        <f>I41/I12</f>
        <v>0</v>
      </c>
      <c r="K41" s="27">
        <f>Markaz!K41+Avenue!K41</f>
        <v>0</v>
      </c>
      <c r="L41" s="68">
        <f>K41/K12</f>
        <v>0</v>
      </c>
      <c r="M41" s="27">
        <f>Markaz!M41+Avenue!M41</f>
        <v>0</v>
      </c>
      <c r="N41" s="68">
        <f>M41/M12</f>
        <v>0</v>
      </c>
      <c r="O41" s="27">
        <f>Markaz!O41+Avenue!O41</f>
        <v>0</v>
      </c>
      <c r="P41" s="68">
        <f>O41/O12</f>
        <v>0</v>
      </c>
      <c r="Q41" s="27">
        <f>Markaz!Q41+Avenue!Q41</f>
        <v>0</v>
      </c>
      <c r="R41" s="68">
        <f>Q41/Q12</f>
        <v>0</v>
      </c>
      <c r="S41" s="27">
        <f>Markaz!S41+Avenue!S41</f>
        <v>0</v>
      </c>
      <c r="T41" s="68">
        <f>S41/S12</f>
        <v>0</v>
      </c>
      <c r="U41" s="27">
        <f>Markaz!U41+Avenue!U41</f>
        <v>0</v>
      </c>
      <c r="V41" s="68">
        <f>U41/U12</f>
        <v>0</v>
      </c>
      <c r="W41" s="27">
        <f>Markaz!W41+Avenue!W41</f>
        <v>0</v>
      </c>
      <c r="X41" s="68">
        <f>W41/W12</f>
        <v>0</v>
      </c>
      <c r="Y41" s="27">
        <f>Markaz!Y41+Avenue!Y41</f>
        <v>0</v>
      </c>
      <c r="Z41" s="212">
        <f>Y41/Y12</f>
        <v>0</v>
      </c>
      <c r="AA41" s="276">
        <f>SUM(AA38:AA40)</f>
        <v>0</v>
      </c>
      <c r="AB41" s="234">
        <f>AA41/AA12</f>
        <v>0</v>
      </c>
      <c r="AC41" s="199">
        <f t="shared" si="14"/>
        <v>0</v>
      </c>
      <c r="AD41" s="234">
        <f>AC41/AC12</f>
        <v>0</v>
      </c>
      <c r="AE41" s="75"/>
      <c r="AF41" s="158"/>
      <c r="AG41" s="75"/>
      <c r="AH41" s="199">
        <v>0</v>
      </c>
      <c r="AI41" s="248">
        <f>AH41/AH12</f>
        <v>0</v>
      </c>
      <c r="AJ41" s="282">
        <f t="shared" si="21"/>
        <v>0</v>
      </c>
      <c r="AK41" s="53">
        <f t="shared" si="22"/>
        <v>0</v>
      </c>
      <c r="AL41" s="53">
        <f t="shared" si="17"/>
        <v>0</v>
      </c>
      <c r="AM41" s="53">
        <f t="shared" si="19"/>
        <v>0</v>
      </c>
      <c r="AN41" s="53" t="e">
        <f>#REF!-AM41</f>
        <v>#REF!</v>
      </c>
      <c r="AO41" s="53"/>
    </row>
    <row r="42" spans="1:41" ht="15.75" thickTop="1">
      <c r="A42" s="98">
        <v>6101</v>
      </c>
      <c r="B42" s="107" t="s">
        <v>2</v>
      </c>
      <c r="C42" s="130">
        <f>Markaz!C42+Avenue!C42</f>
        <v>22442.913800000002</v>
      </c>
      <c r="D42" s="49">
        <f>C42/C$12</f>
        <v>8.5839636729760041E-2</v>
      </c>
      <c r="E42" s="130">
        <f>Markaz!E42+Avenue!E42</f>
        <v>21271.797350000001</v>
      </c>
      <c r="F42" s="49">
        <f>E42/E$12</f>
        <v>0.10457607970236513</v>
      </c>
      <c r="G42" s="130">
        <f>Markaz!G42+Avenue!G42</f>
        <v>23975.564214642785</v>
      </c>
      <c r="H42" s="49">
        <f>G42/G$12</f>
        <v>7.1057321605100796E-2</v>
      </c>
      <c r="I42" s="130">
        <f>Markaz!I42+Avenue!I42</f>
        <v>23178.994358564469</v>
      </c>
      <c r="J42" s="49">
        <f>I42/I$12</f>
        <v>7.7799482193111044E-2</v>
      </c>
      <c r="K42" s="130">
        <f>Markaz!K42+Avenue!K42</f>
        <v>22665.627770276871</v>
      </c>
      <c r="L42" s="49">
        <f>K42/K$12</f>
        <v>8.3179782537991284E-2</v>
      </c>
      <c r="M42" s="130">
        <f>Markaz!M42+Avenue!M42</f>
        <v>24963.735616566337</v>
      </c>
      <c r="N42" s="49">
        <f>M42/M$12</f>
        <v>6.4608196205420451E-2</v>
      </c>
      <c r="O42" s="130">
        <f>Markaz!O42+Avenue!O42</f>
        <v>23003.494811605247</v>
      </c>
      <c r="P42" s="49">
        <f>O42/O$12</f>
        <v>9.4035606200896363E-2</v>
      </c>
      <c r="Q42" s="130">
        <f>Markaz!Q42+Avenue!Q42</f>
        <v>24196.677163980421</v>
      </c>
      <c r="R42" s="49">
        <f>Q42/Q$12</f>
        <v>7.9656991936715105E-2</v>
      </c>
      <c r="S42" s="130">
        <f>Markaz!S42+Avenue!S42</f>
        <v>24241.904822714478</v>
      </c>
      <c r="T42" s="49">
        <f>S42/S$12</f>
        <v>7.9221288514626037E-2</v>
      </c>
      <c r="U42" s="130">
        <f>Markaz!U42+Avenue!U42</f>
        <v>22965.112685286571</v>
      </c>
      <c r="V42" s="49">
        <f>U42/U$12</f>
        <v>9.4614448086395589E-2</v>
      </c>
      <c r="W42" s="130">
        <f>Markaz!W42+Avenue!W42</f>
        <v>23050.531633613071</v>
      </c>
      <c r="X42" s="49">
        <f>W42/W$12</f>
        <v>9.3338402907232179E-2</v>
      </c>
      <c r="Y42" s="130">
        <f>Markaz!Y42+Avenue!Y42</f>
        <v>25595.098809221956</v>
      </c>
      <c r="Z42" s="168">
        <f>Y42/Y$12</f>
        <v>6.8607010967158363E-2</v>
      </c>
      <c r="AA42" s="275">
        <f t="shared" ref="AA42" si="23">C42+E42+G42+I42+K42+M42+O42+Q42+S42+U42+W42+Y42</f>
        <v>281551.45303647226</v>
      </c>
      <c r="AB42" s="168">
        <f>AA42/AA$12</f>
        <v>8.0993606726626879E-2</v>
      </c>
      <c r="AC42" s="194">
        <f t="shared" si="14"/>
        <v>23462.621086372688</v>
      </c>
      <c r="AD42" s="203">
        <f>AC42/AC$12</f>
        <v>8.0993606726626879E-2</v>
      </c>
      <c r="AE42" s="75"/>
      <c r="AF42" s="158"/>
      <c r="AG42" s="75"/>
      <c r="AH42" s="194">
        <v>90000</v>
      </c>
      <c r="AI42" s="244">
        <f>AH42/AH12</f>
        <v>0.11176928732735603</v>
      </c>
      <c r="AJ42" s="282">
        <f t="shared" si="21"/>
        <v>395014.07412284496</v>
      </c>
      <c r="AK42" s="53">
        <f t="shared" si="22"/>
        <v>0</v>
      </c>
      <c r="AL42" s="53">
        <f t="shared" si="17"/>
        <v>281551.45303647226</v>
      </c>
      <c r="AM42" s="53">
        <f t="shared" si="19"/>
        <v>2235665.3737328388</v>
      </c>
      <c r="AN42" s="53" t="e">
        <f>#REF!-AM42</f>
        <v>#REF!</v>
      </c>
      <c r="AO42" s="53" t="s">
        <v>210</v>
      </c>
    </row>
    <row r="43" spans="1:41">
      <c r="A43" s="98">
        <v>6102</v>
      </c>
      <c r="B43" s="107" t="s">
        <v>3</v>
      </c>
      <c r="C43" s="134">
        <f>Markaz!C43+Avenue!C43</f>
        <v>2400</v>
      </c>
      <c r="D43" s="521">
        <f t="shared" ref="D43:D106" si="24">C43/C$12</f>
        <v>9.1795178641832197E-3</v>
      </c>
      <c r="E43" s="134">
        <f>Markaz!E43+Avenue!E43</f>
        <v>2400</v>
      </c>
      <c r="F43" s="49">
        <f t="shared" ref="F43:F106" si="25">E43/E$12</f>
        <v>1.1798842719121535E-2</v>
      </c>
      <c r="G43" s="134">
        <f>Markaz!G43+Avenue!G43</f>
        <v>2400</v>
      </c>
      <c r="H43" s="49">
        <f t="shared" ref="H43:H106" si="26">G43/G$12</f>
        <v>7.1129742902187121E-3</v>
      </c>
      <c r="I43" s="134">
        <f>Markaz!I43+Avenue!I43</f>
        <v>2400</v>
      </c>
      <c r="J43" s="49">
        <f t="shared" ref="J43:J106" si="27">I43/I$12</f>
        <v>8.0555158854195633E-3</v>
      </c>
      <c r="K43" s="134">
        <f>Markaz!K43+Avenue!K43</f>
        <v>2400</v>
      </c>
      <c r="L43" s="49">
        <f t="shared" ref="L43:L106" si="28">K43/K$12</f>
        <v>8.8076747802666531E-3</v>
      </c>
      <c r="M43" s="134">
        <f>Markaz!M43+Avenue!M43</f>
        <v>2400</v>
      </c>
      <c r="N43" s="49">
        <f t="shared" ref="N43:N106" si="29">M43/M$12</f>
        <v>6.2113969349246352E-3</v>
      </c>
      <c r="O43" s="134">
        <f>Markaz!O43+Avenue!O43</f>
        <v>2400</v>
      </c>
      <c r="P43" s="49">
        <f t="shared" ref="P43:P106" si="30">O43/O$12</f>
        <v>9.8109203288664262E-3</v>
      </c>
      <c r="Q43" s="134">
        <f>Markaz!Q43+Avenue!Q43</f>
        <v>2400</v>
      </c>
      <c r="R43" s="49">
        <f t="shared" ref="R43:R106" si="31">Q43/Q$12</f>
        <v>7.9009518270841423E-3</v>
      </c>
      <c r="S43" s="134">
        <f>Markaz!S43+Avenue!S43</f>
        <v>2400</v>
      </c>
      <c r="T43" s="49">
        <f t="shared" ref="T43:T106" si="32">S43/S$12</f>
        <v>7.8430756091803118E-3</v>
      </c>
      <c r="U43" s="134">
        <f>Markaz!U43+Avenue!U43</f>
        <v>2400</v>
      </c>
      <c r="V43" s="49">
        <f t="shared" ref="V43:V106" si="33">U43/U$12</f>
        <v>9.8878101979805663E-3</v>
      </c>
      <c r="W43" s="134">
        <f>Markaz!W43+Avenue!W43</f>
        <v>2400</v>
      </c>
      <c r="X43" s="49">
        <f t="shared" ref="X43:X106" si="34">W43/W$12</f>
        <v>9.7183080433032205E-3</v>
      </c>
      <c r="Y43" s="134">
        <f>Markaz!Y43+Avenue!Y43</f>
        <v>2400</v>
      </c>
      <c r="Z43" s="168">
        <f t="shared" ref="Z43:Z106" si="35">Y43/Y$12</f>
        <v>6.4331389204035404E-3</v>
      </c>
      <c r="AA43" s="275">
        <f t="shared" ref="AA43:AA106" si="36">C43+E43+G43+I43+K43+M43+O43+Q43+S43+U43+W43+Y43</f>
        <v>28800</v>
      </c>
      <c r="AB43" s="203">
        <f t="shared" ref="AB43:AB106" si="37">AA43/AA$12</f>
        <v>8.2848653365844519E-3</v>
      </c>
      <c r="AC43" s="195">
        <f t="shared" ref="AC43:AC106" si="38">AA43/12</f>
        <v>2400</v>
      </c>
      <c r="AD43" s="203">
        <f t="shared" ref="AD43:AD106" si="39">AC43/AC$12</f>
        <v>8.2848653365844519E-3</v>
      </c>
      <c r="AE43" s="75"/>
      <c r="AF43" s="158"/>
      <c r="AG43" s="75"/>
      <c r="AH43" s="195">
        <v>23000</v>
      </c>
      <c r="AI43" s="244">
        <f>AH43/AH12</f>
        <v>2.8563262316990985E-2</v>
      </c>
      <c r="AJ43" s="282">
        <f t="shared" si="21"/>
        <v>54200</v>
      </c>
      <c r="AK43" s="53">
        <f t="shared" si="22"/>
        <v>0</v>
      </c>
      <c r="AL43" s="53">
        <f t="shared" si="17"/>
        <v>28800</v>
      </c>
      <c r="AM43" s="53">
        <f t="shared" ref="AM43:AM80" si="40">G43*9.4+I43*9.4+K43*9.4+M43*9.4+O43*9.4+Q43*9.4+S43*9.4+U43*9.4+W43*9.4+Y43*9.4</f>
        <v>225600</v>
      </c>
      <c r="AN43" s="53" t="e">
        <f>#REF!-AM43</f>
        <v>#REF!</v>
      </c>
      <c r="AO43" s="53">
        <v>775.18</v>
      </c>
    </row>
    <row r="44" spans="1:41">
      <c r="A44" s="98">
        <v>6103</v>
      </c>
      <c r="B44" s="107" t="s">
        <v>4</v>
      </c>
      <c r="C44" s="130">
        <f>Markaz!C44+Avenue!C44</f>
        <v>0</v>
      </c>
      <c r="D44" s="49">
        <f t="shared" si="24"/>
        <v>0</v>
      </c>
      <c r="E44" s="130">
        <f>Markaz!E44+Avenue!E44</f>
        <v>0</v>
      </c>
      <c r="F44" s="49">
        <f t="shared" si="25"/>
        <v>0</v>
      </c>
      <c r="G44" s="130">
        <f>Markaz!G44+Avenue!G44</f>
        <v>0</v>
      </c>
      <c r="H44" s="49">
        <f t="shared" si="26"/>
        <v>0</v>
      </c>
      <c r="I44" s="130">
        <f>Markaz!I44+Avenue!I44</f>
        <v>0</v>
      </c>
      <c r="J44" s="49">
        <f t="shared" si="27"/>
        <v>0</v>
      </c>
      <c r="K44" s="130">
        <f>Markaz!K44+Avenue!K44</f>
        <v>0</v>
      </c>
      <c r="L44" s="49">
        <f t="shared" si="28"/>
        <v>0</v>
      </c>
      <c r="M44" s="130">
        <f>Markaz!M44+Avenue!M44</f>
        <v>0</v>
      </c>
      <c r="N44" s="49">
        <f t="shared" si="29"/>
        <v>0</v>
      </c>
      <c r="O44" s="130">
        <f>Markaz!O44+Avenue!O44</f>
        <v>0</v>
      </c>
      <c r="P44" s="49">
        <f t="shared" si="30"/>
        <v>0</v>
      </c>
      <c r="Q44" s="130">
        <f>Markaz!Q44+Avenue!Q44</f>
        <v>0</v>
      </c>
      <c r="R44" s="49">
        <f t="shared" si="31"/>
        <v>0</v>
      </c>
      <c r="S44" s="130">
        <f>Markaz!S44+Avenue!S44</f>
        <v>0</v>
      </c>
      <c r="T44" s="49">
        <f t="shared" si="32"/>
        <v>0</v>
      </c>
      <c r="U44" s="130">
        <f>Markaz!U44+Avenue!U44</f>
        <v>0</v>
      </c>
      <c r="V44" s="49">
        <f t="shared" si="33"/>
        <v>0</v>
      </c>
      <c r="W44" s="130">
        <f>Markaz!W44+Avenue!W44</f>
        <v>0</v>
      </c>
      <c r="X44" s="49">
        <f t="shared" si="34"/>
        <v>0</v>
      </c>
      <c r="Y44" s="130">
        <f>Markaz!Y44+Avenue!Y44</f>
        <v>0</v>
      </c>
      <c r="Z44" s="168">
        <f t="shared" si="35"/>
        <v>0</v>
      </c>
      <c r="AA44" s="275">
        <f t="shared" si="36"/>
        <v>0</v>
      </c>
      <c r="AB44" s="203">
        <f t="shared" si="37"/>
        <v>0</v>
      </c>
      <c r="AC44" s="194">
        <f t="shared" si="38"/>
        <v>0</v>
      </c>
      <c r="AD44" s="203">
        <f t="shared" si="39"/>
        <v>0</v>
      </c>
      <c r="AE44" s="75"/>
      <c r="AF44" s="158"/>
      <c r="AG44" s="75"/>
      <c r="AH44" s="194">
        <v>0</v>
      </c>
      <c r="AI44" s="244">
        <f>AH44/AH12</f>
        <v>0</v>
      </c>
      <c r="AJ44" s="282">
        <f t="shared" si="21"/>
        <v>0</v>
      </c>
      <c r="AK44" s="53">
        <f t="shared" si="22"/>
        <v>0</v>
      </c>
      <c r="AL44" s="53">
        <f t="shared" si="17"/>
        <v>0</v>
      </c>
      <c r="AM44" s="53">
        <f t="shared" si="40"/>
        <v>0</v>
      </c>
      <c r="AN44" s="53" t="e">
        <f>#REF!-AM44</f>
        <v>#REF!</v>
      </c>
      <c r="AO44" s="53"/>
    </row>
    <row r="45" spans="1:41">
      <c r="A45" s="98">
        <v>6104</v>
      </c>
      <c r="B45" s="107" t="s">
        <v>5</v>
      </c>
      <c r="C45" s="134">
        <f>Markaz!C45+Avenue!C45</f>
        <v>513</v>
      </c>
      <c r="D45" s="49">
        <f t="shared" si="24"/>
        <v>1.9621219434691629E-3</v>
      </c>
      <c r="E45" s="134">
        <f>Markaz!E45+Avenue!E45</f>
        <v>513</v>
      </c>
      <c r="F45" s="49">
        <f t="shared" si="25"/>
        <v>2.5220026312122281E-3</v>
      </c>
      <c r="G45" s="134">
        <f>Markaz!G45+Avenue!G45</f>
        <v>513</v>
      </c>
      <c r="H45" s="49">
        <f t="shared" si="26"/>
        <v>1.5203982545342496E-3</v>
      </c>
      <c r="I45" s="134">
        <f>Markaz!I45+Avenue!I45</f>
        <v>513</v>
      </c>
      <c r="J45" s="49">
        <f t="shared" si="27"/>
        <v>1.7218665205084316E-3</v>
      </c>
      <c r="K45" s="134">
        <f>Markaz!K45+Avenue!K45</f>
        <v>513</v>
      </c>
      <c r="L45" s="49">
        <f t="shared" si="28"/>
        <v>1.882640484281997E-3</v>
      </c>
      <c r="M45" s="134">
        <f>Markaz!M45+Avenue!M45</f>
        <v>513</v>
      </c>
      <c r="N45" s="49">
        <f t="shared" si="29"/>
        <v>1.3276860948401407E-3</v>
      </c>
      <c r="O45" s="134">
        <f>Markaz!O45+Avenue!O45</f>
        <v>513</v>
      </c>
      <c r="P45" s="49">
        <f t="shared" si="30"/>
        <v>2.0970842202951987E-3</v>
      </c>
      <c r="Q45" s="134">
        <f>Markaz!Q45+Avenue!Q45</f>
        <v>513</v>
      </c>
      <c r="R45" s="49">
        <f t="shared" si="31"/>
        <v>1.6888284530392355E-3</v>
      </c>
      <c r="S45" s="134">
        <f>Markaz!S45+Avenue!S45</f>
        <v>513</v>
      </c>
      <c r="T45" s="49">
        <f t="shared" si="32"/>
        <v>1.6764574114622919E-3</v>
      </c>
      <c r="U45" s="134">
        <f>Markaz!U45+Avenue!U45</f>
        <v>513</v>
      </c>
      <c r="V45" s="49">
        <f t="shared" si="33"/>
        <v>2.1135194298183457E-3</v>
      </c>
      <c r="W45" s="134">
        <f>Markaz!W45+Avenue!W45</f>
        <v>513</v>
      </c>
      <c r="X45" s="49">
        <f t="shared" si="34"/>
        <v>2.0772883442560634E-3</v>
      </c>
      <c r="Y45" s="134">
        <f>Markaz!Y45+Avenue!Y45</f>
        <v>513</v>
      </c>
      <c r="Z45" s="168">
        <f t="shared" si="35"/>
        <v>1.3750834442362568E-3</v>
      </c>
      <c r="AA45" s="275">
        <f t="shared" si="36"/>
        <v>6156</v>
      </c>
      <c r="AB45" s="203">
        <f t="shared" si="37"/>
        <v>1.7708899656949265E-3</v>
      </c>
      <c r="AC45" s="196">
        <f t="shared" si="38"/>
        <v>513</v>
      </c>
      <c r="AD45" s="203">
        <f t="shared" si="39"/>
        <v>1.7708899656949265E-3</v>
      </c>
      <c r="AE45" s="75"/>
      <c r="AF45" s="158"/>
      <c r="AG45" s="75"/>
      <c r="AH45" s="196">
        <v>2359.6289999999999</v>
      </c>
      <c r="AI45" s="244">
        <f>AH45/AH12</f>
        <v>2.9303783520773529E-3</v>
      </c>
      <c r="AJ45" s="282">
        <f t="shared" si="21"/>
        <v>9028.6290000000008</v>
      </c>
      <c r="AK45" s="53">
        <f t="shared" si="22"/>
        <v>0</v>
      </c>
      <c r="AL45" s="53">
        <f t="shared" si="17"/>
        <v>6156</v>
      </c>
      <c r="AM45" s="53">
        <f t="shared" si="40"/>
        <v>48221.999999999993</v>
      </c>
      <c r="AN45" s="53" t="e">
        <f>#REF!-AM45</f>
        <v>#REF!</v>
      </c>
      <c r="AO45" s="53">
        <v>179</v>
      </c>
    </row>
    <row r="46" spans="1:41">
      <c r="A46" s="98">
        <v>6105</v>
      </c>
      <c r="B46" s="107" t="s">
        <v>40</v>
      </c>
      <c r="C46" s="198">
        <f>Markaz!C46+Avenue!C46</f>
        <v>1000</v>
      </c>
      <c r="D46" s="49">
        <f t="shared" si="24"/>
        <v>3.8247991100763411E-3</v>
      </c>
      <c r="E46" s="198">
        <f>Markaz!E46+Avenue!E46</f>
        <v>1000</v>
      </c>
      <c r="F46" s="49">
        <f t="shared" si="25"/>
        <v>4.9161844663006401E-3</v>
      </c>
      <c r="G46" s="198">
        <f>Markaz!G46+Avenue!G46</f>
        <v>1000</v>
      </c>
      <c r="H46" s="49">
        <f t="shared" si="26"/>
        <v>2.9637392875911301E-3</v>
      </c>
      <c r="I46" s="198">
        <f>Markaz!I46+Avenue!I46</f>
        <v>1000</v>
      </c>
      <c r="J46" s="49">
        <f t="shared" si="27"/>
        <v>3.3564649522581512E-3</v>
      </c>
      <c r="K46" s="198">
        <f>Markaz!K46+Avenue!K46</f>
        <v>1000</v>
      </c>
      <c r="L46" s="49">
        <f t="shared" si="28"/>
        <v>3.6698644917777718E-3</v>
      </c>
      <c r="M46" s="198">
        <f>Markaz!M46+Avenue!M46</f>
        <v>1000</v>
      </c>
      <c r="N46" s="49">
        <f t="shared" si="29"/>
        <v>2.5880820562185981E-3</v>
      </c>
      <c r="O46" s="198">
        <f>Markaz!O46+Avenue!O46</f>
        <v>1000</v>
      </c>
      <c r="P46" s="49">
        <f t="shared" si="30"/>
        <v>4.087883470361011E-3</v>
      </c>
      <c r="Q46" s="198">
        <f>Markaz!Q46+Avenue!Q46</f>
        <v>1000</v>
      </c>
      <c r="R46" s="49">
        <f t="shared" si="31"/>
        <v>3.2920632612850591E-3</v>
      </c>
      <c r="S46" s="198">
        <f>Markaz!S46+Avenue!S46</f>
        <v>1000</v>
      </c>
      <c r="T46" s="49">
        <f t="shared" si="32"/>
        <v>3.267948170491797E-3</v>
      </c>
      <c r="U46" s="198">
        <f>Markaz!U46+Avenue!U46</f>
        <v>1000</v>
      </c>
      <c r="V46" s="49">
        <f t="shared" si="33"/>
        <v>4.119920915825236E-3</v>
      </c>
      <c r="W46" s="198">
        <f>Markaz!W46+Avenue!W46</f>
        <v>1000</v>
      </c>
      <c r="X46" s="49">
        <f t="shared" si="34"/>
        <v>4.0492950180430086E-3</v>
      </c>
      <c r="Y46" s="198">
        <f>Markaz!Y46+Avenue!Y46</f>
        <v>1000</v>
      </c>
      <c r="Z46" s="168">
        <f t="shared" si="35"/>
        <v>2.6804745501681415E-3</v>
      </c>
      <c r="AA46" s="275">
        <f t="shared" si="36"/>
        <v>12000</v>
      </c>
      <c r="AB46" s="203">
        <f t="shared" si="37"/>
        <v>3.4520272235768548E-3</v>
      </c>
      <c r="AC46" s="196">
        <f t="shared" si="38"/>
        <v>1000</v>
      </c>
      <c r="AD46" s="203">
        <f t="shared" si="39"/>
        <v>3.4520272235768548E-3</v>
      </c>
      <c r="AE46" s="75"/>
      <c r="AF46" s="158"/>
      <c r="AG46" s="75"/>
      <c r="AH46" s="196">
        <v>0</v>
      </c>
      <c r="AI46" s="244">
        <f>AH46/AH12</f>
        <v>0</v>
      </c>
      <c r="AJ46" s="282">
        <f t="shared" si="21"/>
        <v>13000</v>
      </c>
      <c r="AK46" s="53">
        <f t="shared" si="22"/>
        <v>0</v>
      </c>
      <c r="AL46" s="53">
        <f t="shared" si="17"/>
        <v>12000</v>
      </c>
      <c r="AM46" s="53">
        <f t="shared" si="40"/>
        <v>94000</v>
      </c>
      <c r="AN46" s="53" t="e">
        <f>#REF!-AM46</f>
        <v>#REF!</v>
      </c>
      <c r="AO46" s="53"/>
    </row>
    <row r="47" spans="1:41">
      <c r="A47" s="98">
        <v>6106</v>
      </c>
      <c r="B47" s="107" t="s">
        <v>7</v>
      </c>
      <c r="C47" s="23">
        <f>Markaz!C47+Avenue!C47</f>
        <v>0</v>
      </c>
      <c r="D47" s="49">
        <f t="shared" si="24"/>
        <v>0</v>
      </c>
      <c r="E47" s="23">
        <f>Markaz!E47+Avenue!E47</f>
        <v>0</v>
      </c>
      <c r="F47" s="49">
        <f t="shared" si="25"/>
        <v>0</v>
      </c>
      <c r="G47" s="23">
        <f>Markaz!G47+Avenue!G47</f>
        <v>0</v>
      </c>
      <c r="H47" s="49">
        <f t="shared" si="26"/>
        <v>0</v>
      </c>
      <c r="I47" s="23">
        <f>Markaz!I47+Avenue!I47</f>
        <v>0</v>
      </c>
      <c r="J47" s="49">
        <f t="shared" si="27"/>
        <v>0</v>
      </c>
      <c r="K47" s="23">
        <f>Markaz!K47+Avenue!K47</f>
        <v>0</v>
      </c>
      <c r="L47" s="49">
        <f t="shared" si="28"/>
        <v>0</v>
      </c>
      <c r="M47" s="23">
        <f>Markaz!M47+Avenue!M47</f>
        <v>0</v>
      </c>
      <c r="N47" s="49">
        <f t="shared" si="29"/>
        <v>0</v>
      </c>
      <c r="O47" s="23">
        <f>Markaz!O47+Avenue!O47</f>
        <v>0</v>
      </c>
      <c r="P47" s="49">
        <f t="shared" si="30"/>
        <v>0</v>
      </c>
      <c r="Q47" s="23">
        <f>Markaz!Q47+Avenue!Q47</f>
        <v>0</v>
      </c>
      <c r="R47" s="49">
        <f t="shared" si="31"/>
        <v>0</v>
      </c>
      <c r="S47" s="23">
        <f>Markaz!S47+Avenue!S47</f>
        <v>0</v>
      </c>
      <c r="T47" s="49">
        <f t="shared" si="32"/>
        <v>0</v>
      </c>
      <c r="U47" s="23">
        <f>Markaz!U47+Avenue!U47</f>
        <v>0</v>
      </c>
      <c r="V47" s="49">
        <f t="shared" si="33"/>
        <v>0</v>
      </c>
      <c r="W47" s="23">
        <f>Markaz!W47+Avenue!W47</f>
        <v>0</v>
      </c>
      <c r="X47" s="49">
        <f t="shared" si="34"/>
        <v>0</v>
      </c>
      <c r="Y47" s="23">
        <f>Markaz!Y47+Avenue!Y47</f>
        <v>0</v>
      </c>
      <c r="Z47" s="168">
        <f t="shared" si="35"/>
        <v>0</v>
      </c>
      <c r="AA47" s="275">
        <f t="shared" si="36"/>
        <v>0</v>
      </c>
      <c r="AB47" s="203">
        <f t="shared" si="37"/>
        <v>0</v>
      </c>
      <c r="AC47" s="196">
        <f t="shared" si="38"/>
        <v>0</v>
      </c>
      <c r="AD47" s="203">
        <f t="shared" si="39"/>
        <v>0</v>
      </c>
      <c r="AE47" s="75"/>
      <c r="AF47" s="158"/>
      <c r="AG47" s="75"/>
      <c r="AH47" s="196">
        <v>0</v>
      </c>
      <c r="AI47" s="244">
        <f>AH47/AH12</f>
        <v>0</v>
      </c>
      <c r="AJ47" s="282">
        <f t="shared" si="21"/>
        <v>0</v>
      </c>
      <c r="AK47" s="53">
        <f t="shared" si="22"/>
        <v>0</v>
      </c>
      <c r="AL47" s="53">
        <f t="shared" si="17"/>
        <v>0</v>
      </c>
      <c r="AM47" s="53">
        <f t="shared" si="40"/>
        <v>0</v>
      </c>
      <c r="AN47" s="53" t="e">
        <f>#REF!-AM47</f>
        <v>#REF!</v>
      </c>
      <c r="AO47" s="53"/>
    </row>
    <row r="48" spans="1:41">
      <c r="A48" s="98">
        <v>6107</v>
      </c>
      <c r="B48" s="107" t="s">
        <v>8</v>
      </c>
      <c r="C48" s="23">
        <f>Markaz!C48+Avenue!C48</f>
        <v>0</v>
      </c>
      <c r="D48" s="49">
        <f t="shared" si="24"/>
        <v>0</v>
      </c>
      <c r="E48" s="23">
        <f>Markaz!E48+Avenue!E48</f>
        <v>0</v>
      </c>
      <c r="F48" s="49">
        <f t="shared" si="25"/>
        <v>0</v>
      </c>
      <c r="G48" s="23">
        <f>Markaz!G48+Avenue!G48</f>
        <v>0</v>
      </c>
      <c r="H48" s="49">
        <f t="shared" si="26"/>
        <v>0</v>
      </c>
      <c r="I48" s="23">
        <f>Markaz!I48+Avenue!I48</f>
        <v>0</v>
      </c>
      <c r="J48" s="49">
        <f t="shared" si="27"/>
        <v>0</v>
      </c>
      <c r="K48" s="23">
        <f>Markaz!K48+Avenue!K48</f>
        <v>0</v>
      </c>
      <c r="L48" s="49">
        <f t="shared" si="28"/>
        <v>0</v>
      </c>
      <c r="M48" s="23">
        <f>Markaz!M48+Avenue!M48</f>
        <v>0</v>
      </c>
      <c r="N48" s="49">
        <f t="shared" si="29"/>
        <v>0</v>
      </c>
      <c r="O48" s="23">
        <f>Markaz!O48+Avenue!O48</f>
        <v>0</v>
      </c>
      <c r="P48" s="49">
        <f t="shared" si="30"/>
        <v>0</v>
      </c>
      <c r="Q48" s="23">
        <f>Markaz!Q48+Avenue!Q48</f>
        <v>0</v>
      </c>
      <c r="R48" s="49">
        <f t="shared" si="31"/>
        <v>0</v>
      </c>
      <c r="S48" s="23">
        <f>Markaz!S48+Avenue!S48</f>
        <v>0</v>
      </c>
      <c r="T48" s="49">
        <f t="shared" si="32"/>
        <v>0</v>
      </c>
      <c r="U48" s="23">
        <f>Markaz!U48+Avenue!U48</f>
        <v>0</v>
      </c>
      <c r="V48" s="49">
        <f t="shared" si="33"/>
        <v>0</v>
      </c>
      <c r="W48" s="23">
        <f>Markaz!W48+Avenue!W48</f>
        <v>0</v>
      </c>
      <c r="X48" s="49">
        <f t="shared" si="34"/>
        <v>0</v>
      </c>
      <c r="Y48" s="23">
        <f>Markaz!Y48+Avenue!Y48</f>
        <v>0</v>
      </c>
      <c r="Z48" s="168">
        <f t="shared" si="35"/>
        <v>0</v>
      </c>
      <c r="AA48" s="275">
        <f t="shared" si="36"/>
        <v>0</v>
      </c>
      <c r="AB48" s="203">
        <f t="shared" si="37"/>
        <v>0</v>
      </c>
      <c r="AC48" s="196">
        <f t="shared" si="38"/>
        <v>0</v>
      </c>
      <c r="AD48" s="203">
        <f t="shared" si="39"/>
        <v>0</v>
      </c>
      <c r="AE48" s="75"/>
      <c r="AF48" s="158"/>
      <c r="AG48" s="75"/>
      <c r="AH48" s="196">
        <v>0</v>
      </c>
      <c r="AI48" s="244">
        <f>AH48/AH12</f>
        <v>0</v>
      </c>
      <c r="AJ48" s="282">
        <f t="shared" si="21"/>
        <v>0</v>
      </c>
      <c r="AK48" s="53">
        <f t="shared" si="22"/>
        <v>0</v>
      </c>
      <c r="AL48" s="53">
        <f t="shared" si="17"/>
        <v>0</v>
      </c>
      <c r="AM48" s="53">
        <f t="shared" si="40"/>
        <v>0</v>
      </c>
      <c r="AN48" s="53" t="e">
        <f>#REF!-AM48</f>
        <v>#REF!</v>
      </c>
      <c r="AO48" s="53"/>
    </row>
    <row r="49" spans="1:41">
      <c r="A49" s="98">
        <v>6108</v>
      </c>
      <c r="B49" s="107" t="s">
        <v>9</v>
      </c>
      <c r="C49" s="23">
        <f>Markaz!C49+Avenue!C49</f>
        <v>0</v>
      </c>
      <c r="D49" s="49">
        <f t="shared" si="24"/>
        <v>0</v>
      </c>
      <c r="E49" s="23">
        <f>Markaz!E49+Avenue!E49</f>
        <v>0</v>
      </c>
      <c r="F49" s="49">
        <f t="shared" si="25"/>
        <v>0</v>
      </c>
      <c r="G49" s="23">
        <f>Markaz!G49+Avenue!G49</f>
        <v>0</v>
      </c>
      <c r="H49" s="49">
        <f t="shared" si="26"/>
        <v>0</v>
      </c>
      <c r="I49" s="23">
        <f>Markaz!I49+Avenue!I49</f>
        <v>0</v>
      </c>
      <c r="J49" s="49">
        <f t="shared" si="27"/>
        <v>0</v>
      </c>
      <c r="K49" s="23">
        <f>Markaz!K49+Avenue!K49</f>
        <v>0</v>
      </c>
      <c r="L49" s="49">
        <f t="shared" si="28"/>
        <v>0</v>
      </c>
      <c r="M49" s="23">
        <f>Markaz!M49+Avenue!M49</f>
        <v>0</v>
      </c>
      <c r="N49" s="49">
        <f t="shared" si="29"/>
        <v>0</v>
      </c>
      <c r="O49" s="23">
        <f>Markaz!O49+Avenue!O49</f>
        <v>0</v>
      </c>
      <c r="P49" s="49">
        <f t="shared" si="30"/>
        <v>0</v>
      </c>
      <c r="Q49" s="23">
        <f>Markaz!Q49+Avenue!Q49</f>
        <v>0</v>
      </c>
      <c r="R49" s="49">
        <f t="shared" si="31"/>
        <v>0</v>
      </c>
      <c r="S49" s="23">
        <f>Markaz!S49+Avenue!S49</f>
        <v>0</v>
      </c>
      <c r="T49" s="49">
        <f t="shared" si="32"/>
        <v>0</v>
      </c>
      <c r="U49" s="23">
        <f>Markaz!U49+Avenue!U49</f>
        <v>0</v>
      </c>
      <c r="V49" s="49">
        <f t="shared" si="33"/>
        <v>0</v>
      </c>
      <c r="W49" s="23">
        <f>Markaz!W49+Avenue!W49</f>
        <v>0</v>
      </c>
      <c r="X49" s="49">
        <f t="shared" si="34"/>
        <v>0</v>
      </c>
      <c r="Y49" s="23">
        <f>Markaz!Y49+Avenue!Y49</f>
        <v>0</v>
      </c>
      <c r="Z49" s="168">
        <f t="shared" si="35"/>
        <v>0</v>
      </c>
      <c r="AA49" s="275">
        <f t="shared" si="36"/>
        <v>0</v>
      </c>
      <c r="AB49" s="203">
        <f t="shared" si="37"/>
        <v>0</v>
      </c>
      <c r="AC49" s="196">
        <f t="shared" si="38"/>
        <v>0</v>
      </c>
      <c r="AD49" s="203">
        <f t="shared" si="39"/>
        <v>0</v>
      </c>
      <c r="AE49" s="75"/>
      <c r="AF49" s="158"/>
      <c r="AG49" s="75"/>
      <c r="AH49" s="196">
        <v>0</v>
      </c>
      <c r="AI49" s="244">
        <f>AH49/AH12</f>
        <v>0</v>
      </c>
      <c r="AJ49" s="282">
        <f t="shared" si="21"/>
        <v>0</v>
      </c>
      <c r="AK49" s="53">
        <f t="shared" si="22"/>
        <v>0</v>
      </c>
      <c r="AL49" s="53">
        <f t="shared" si="17"/>
        <v>0</v>
      </c>
      <c r="AM49" s="53">
        <f t="shared" si="40"/>
        <v>0</v>
      </c>
      <c r="AN49" s="53" t="e">
        <f>#REF!-AM49</f>
        <v>#REF!</v>
      </c>
      <c r="AO49" s="53"/>
    </row>
    <row r="50" spans="1:41">
      <c r="A50" s="98">
        <v>6109</v>
      </c>
      <c r="B50" s="107" t="s">
        <v>79</v>
      </c>
      <c r="C50" s="134">
        <f>Markaz!C50+Avenue!C50</f>
        <v>0</v>
      </c>
      <c r="D50" s="49">
        <f t="shared" si="24"/>
        <v>0</v>
      </c>
      <c r="E50" s="134">
        <f>Markaz!E50+Avenue!E50</f>
        <v>0</v>
      </c>
      <c r="F50" s="49">
        <f t="shared" si="25"/>
        <v>0</v>
      </c>
      <c r="G50" s="134">
        <f>Markaz!G50+Avenue!G50</f>
        <v>0</v>
      </c>
      <c r="H50" s="49">
        <f t="shared" si="26"/>
        <v>0</v>
      </c>
      <c r="I50" s="134">
        <f>Markaz!I50+Avenue!I50</f>
        <v>0</v>
      </c>
      <c r="J50" s="49">
        <f t="shared" si="27"/>
        <v>0</v>
      </c>
      <c r="K50" s="134">
        <f>Markaz!K50+Avenue!K50</f>
        <v>0</v>
      </c>
      <c r="L50" s="49">
        <f t="shared" si="28"/>
        <v>0</v>
      </c>
      <c r="M50" s="134">
        <f>Markaz!M50+Avenue!M50</f>
        <v>0</v>
      </c>
      <c r="N50" s="49">
        <f t="shared" si="29"/>
        <v>0</v>
      </c>
      <c r="O50" s="134">
        <f>Markaz!O50+Avenue!O50</f>
        <v>0</v>
      </c>
      <c r="P50" s="49">
        <f t="shared" si="30"/>
        <v>0</v>
      </c>
      <c r="Q50" s="134">
        <f>Markaz!Q50+Avenue!Q50</f>
        <v>0</v>
      </c>
      <c r="R50" s="49">
        <f t="shared" si="31"/>
        <v>0</v>
      </c>
      <c r="S50" s="134">
        <f>Markaz!S50+Avenue!S50</f>
        <v>0</v>
      </c>
      <c r="T50" s="49">
        <f t="shared" si="32"/>
        <v>0</v>
      </c>
      <c r="U50" s="134">
        <f>Markaz!U50+Avenue!U50</f>
        <v>0</v>
      </c>
      <c r="V50" s="49">
        <f t="shared" si="33"/>
        <v>0</v>
      </c>
      <c r="W50" s="134">
        <f>Markaz!W50+Avenue!W50</f>
        <v>0</v>
      </c>
      <c r="X50" s="49">
        <f t="shared" si="34"/>
        <v>0</v>
      </c>
      <c r="Y50" s="134">
        <f>Markaz!Y50+Avenue!Y50</f>
        <v>0</v>
      </c>
      <c r="Z50" s="168">
        <f t="shared" si="35"/>
        <v>0</v>
      </c>
      <c r="AA50" s="275">
        <f t="shared" si="36"/>
        <v>0</v>
      </c>
      <c r="AB50" s="203">
        <f t="shared" si="37"/>
        <v>0</v>
      </c>
      <c r="AC50" s="196">
        <f t="shared" si="38"/>
        <v>0</v>
      </c>
      <c r="AD50" s="203">
        <f t="shared" si="39"/>
        <v>0</v>
      </c>
      <c r="AE50" s="75"/>
      <c r="AF50" s="158"/>
      <c r="AG50" s="75"/>
      <c r="AH50" s="196">
        <v>0</v>
      </c>
      <c r="AI50" s="244">
        <f>AH50/AH12</f>
        <v>0</v>
      </c>
      <c r="AJ50" s="282">
        <f t="shared" si="21"/>
        <v>0</v>
      </c>
      <c r="AK50" s="53">
        <f t="shared" si="22"/>
        <v>0</v>
      </c>
      <c r="AL50" s="53">
        <f t="shared" si="17"/>
        <v>0</v>
      </c>
      <c r="AM50" s="53">
        <f t="shared" si="40"/>
        <v>0</v>
      </c>
      <c r="AN50" s="53" t="e">
        <f>#REF!-AM50</f>
        <v>#REF!</v>
      </c>
      <c r="AO50" s="53"/>
    </row>
    <row r="51" spans="1:41">
      <c r="A51" s="98">
        <v>6110</v>
      </c>
      <c r="B51" s="107" t="s">
        <v>10</v>
      </c>
      <c r="C51" s="23">
        <f>Markaz!C51+Avenue!C51</f>
        <v>90</v>
      </c>
      <c r="D51" s="49">
        <f t="shared" si="24"/>
        <v>3.4423191990687069E-4</v>
      </c>
      <c r="E51" s="23">
        <f>Markaz!E51+Avenue!E51</f>
        <v>90</v>
      </c>
      <c r="F51" s="49">
        <f t="shared" si="25"/>
        <v>4.4245660196705762E-4</v>
      </c>
      <c r="G51" s="23">
        <f>Markaz!G51+Avenue!G51</f>
        <v>90</v>
      </c>
      <c r="H51" s="49">
        <f t="shared" si="26"/>
        <v>2.6673653588320169E-4</v>
      </c>
      <c r="I51" s="23">
        <f>Markaz!I51+Avenue!I51</f>
        <v>90</v>
      </c>
      <c r="J51" s="49">
        <f t="shared" si="27"/>
        <v>3.0208184570323362E-4</v>
      </c>
      <c r="K51" s="23">
        <f>Markaz!K51+Avenue!K51</f>
        <v>90</v>
      </c>
      <c r="L51" s="49">
        <f t="shared" si="28"/>
        <v>3.3028780425999949E-4</v>
      </c>
      <c r="M51" s="23">
        <f>Markaz!M51+Avenue!M51</f>
        <v>90</v>
      </c>
      <c r="N51" s="49">
        <f t="shared" si="29"/>
        <v>2.3292738505967383E-4</v>
      </c>
      <c r="O51" s="23">
        <f>Markaz!O51+Avenue!O51</f>
        <v>90</v>
      </c>
      <c r="P51" s="49">
        <f t="shared" si="30"/>
        <v>3.6790951233249097E-4</v>
      </c>
      <c r="Q51" s="23">
        <f>Markaz!Q51+Avenue!Q51</f>
        <v>90</v>
      </c>
      <c r="R51" s="49">
        <f t="shared" si="31"/>
        <v>2.9628569351565536E-4</v>
      </c>
      <c r="S51" s="23">
        <f>Markaz!S51+Avenue!S51</f>
        <v>90</v>
      </c>
      <c r="T51" s="49">
        <f t="shared" si="32"/>
        <v>2.941153353442617E-4</v>
      </c>
      <c r="U51" s="23">
        <f>Markaz!U51+Avenue!U51</f>
        <v>90</v>
      </c>
      <c r="V51" s="49">
        <f t="shared" si="33"/>
        <v>3.7079288242427124E-4</v>
      </c>
      <c r="W51" s="23">
        <f>Markaz!W51+Avenue!W51</f>
        <v>90</v>
      </c>
      <c r="X51" s="49">
        <f t="shared" si="34"/>
        <v>3.6443655162387076E-4</v>
      </c>
      <c r="Y51" s="23">
        <f>Markaz!Y51+Avenue!Y51</f>
        <v>90</v>
      </c>
      <c r="Z51" s="168">
        <f t="shared" si="35"/>
        <v>2.4124270951513275E-4</v>
      </c>
      <c r="AA51" s="275">
        <f t="shared" si="36"/>
        <v>1080</v>
      </c>
      <c r="AB51" s="203">
        <f t="shared" si="37"/>
        <v>3.106824501219169E-4</v>
      </c>
      <c r="AC51" s="196">
        <f t="shared" si="38"/>
        <v>90</v>
      </c>
      <c r="AD51" s="203">
        <f t="shared" si="39"/>
        <v>3.1068245012191696E-4</v>
      </c>
      <c r="AE51" s="75"/>
      <c r="AF51" s="158"/>
      <c r="AG51" s="75"/>
      <c r="AH51" s="196">
        <v>600</v>
      </c>
      <c r="AI51" s="244">
        <f>AH51/AH12</f>
        <v>7.4512858218237356E-4</v>
      </c>
      <c r="AJ51" s="282">
        <f t="shared" si="21"/>
        <v>1770</v>
      </c>
      <c r="AK51" s="53">
        <f t="shared" si="22"/>
        <v>0</v>
      </c>
      <c r="AL51" s="53">
        <f t="shared" si="17"/>
        <v>1080</v>
      </c>
      <c r="AM51" s="53">
        <f t="shared" si="40"/>
        <v>8460</v>
      </c>
      <c r="AN51" s="53" t="e">
        <f>#REF!-AM51</f>
        <v>#REF!</v>
      </c>
      <c r="AO51" s="53">
        <v>30.19</v>
      </c>
    </row>
    <row r="52" spans="1:41">
      <c r="A52" s="98">
        <v>6111</v>
      </c>
      <c r="B52" s="107" t="s">
        <v>11</v>
      </c>
      <c r="C52" s="130">
        <f>Markaz!C52+Avenue!C52</f>
        <v>5143.08</v>
      </c>
      <c r="D52" s="49">
        <f t="shared" si="24"/>
        <v>1.9671247807051429E-2</v>
      </c>
      <c r="E52" s="130">
        <f>Markaz!E52+Avenue!E52</f>
        <v>5143.083333333333</v>
      </c>
      <c r="F52" s="49">
        <f t="shared" si="25"/>
        <v>2.5284346392223048E-2</v>
      </c>
      <c r="G52" s="130">
        <f>Markaz!G52+Avenue!G52</f>
        <v>5143.08</v>
      </c>
      <c r="H52" s="49">
        <f t="shared" si="26"/>
        <v>1.5242748255224189E-2</v>
      </c>
      <c r="I52" s="130">
        <f>Markaz!I52+Avenue!I52</f>
        <v>5143.08</v>
      </c>
      <c r="J52" s="49">
        <f t="shared" si="27"/>
        <v>1.7262567766659853E-2</v>
      </c>
      <c r="K52" s="130">
        <f>Markaz!K52+Avenue!K52</f>
        <v>5143</v>
      </c>
      <c r="L52" s="49">
        <f t="shared" si="28"/>
        <v>1.8874113081213079E-2</v>
      </c>
      <c r="M52" s="130">
        <f>Markaz!M52+Avenue!M52</f>
        <v>5143</v>
      </c>
      <c r="N52" s="49">
        <f t="shared" si="29"/>
        <v>1.3310506015132249E-2</v>
      </c>
      <c r="O52" s="130">
        <f>Markaz!O52+Avenue!O52</f>
        <v>5400.25</v>
      </c>
      <c r="P52" s="49">
        <f t="shared" si="30"/>
        <v>2.2075592710817049E-2</v>
      </c>
      <c r="Q52" s="130">
        <f>Markaz!Q52+Avenue!Q52</f>
        <v>5400.25</v>
      </c>
      <c r="R52" s="49">
        <f t="shared" si="31"/>
        <v>1.7777964626754642E-2</v>
      </c>
      <c r="S52" s="130">
        <f>Markaz!S52+Avenue!S52</f>
        <v>5400.25</v>
      </c>
      <c r="T52" s="49">
        <f t="shared" si="32"/>
        <v>1.7647737107698326E-2</v>
      </c>
      <c r="U52" s="130">
        <f>Markaz!U52+Avenue!U52</f>
        <v>5400.25</v>
      </c>
      <c r="V52" s="49">
        <f t="shared" si="33"/>
        <v>2.2248602925685229E-2</v>
      </c>
      <c r="W52" s="130">
        <f>Markaz!W52+Avenue!W52</f>
        <v>5400.25</v>
      </c>
      <c r="X52" s="49">
        <f t="shared" si="34"/>
        <v>2.1867205421186756E-2</v>
      </c>
      <c r="Y52" s="130">
        <f>Markaz!Y52+Avenue!Y52</f>
        <v>5400.25</v>
      </c>
      <c r="Z52" s="168">
        <f t="shared" si="35"/>
        <v>1.4475232689545507E-2</v>
      </c>
      <c r="AA52" s="275">
        <f t="shared" si="36"/>
        <v>63259.823333333334</v>
      </c>
      <c r="AB52" s="203">
        <f t="shared" si="37"/>
        <v>1.8197886025444084E-2</v>
      </c>
      <c r="AC52" s="194">
        <f t="shared" si="38"/>
        <v>5271.6519444444448</v>
      </c>
      <c r="AD52" s="203">
        <f t="shared" si="39"/>
        <v>1.8197886025444084E-2</v>
      </c>
      <c r="AE52" s="75"/>
      <c r="AF52" s="158"/>
      <c r="AG52" s="75"/>
      <c r="AH52" s="194">
        <v>0</v>
      </c>
      <c r="AI52" s="244">
        <f>AH52/AH12</f>
        <v>0</v>
      </c>
      <c r="AJ52" s="282">
        <f t="shared" si="21"/>
        <v>68531.475277777776</v>
      </c>
      <c r="AK52" s="53">
        <f t="shared" si="22"/>
        <v>0</v>
      </c>
      <c r="AL52" s="53">
        <f t="shared" si="17"/>
        <v>63259.823333333334</v>
      </c>
      <c r="AM52" s="53">
        <f t="shared" si="40"/>
        <v>497952.40399999992</v>
      </c>
      <c r="AN52" s="53" t="e">
        <f>#REF!-AM52</f>
        <v>#REF!</v>
      </c>
      <c r="AO52" s="53"/>
    </row>
    <row r="53" spans="1:41">
      <c r="A53" s="98">
        <v>6112</v>
      </c>
      <c r="B53" s="107" t="s">
        <v>12</v>
      </c>
      <c r="C53" s="130">
        <f>Markaz!C53+Avenue!C53</f>
        <v>951.5</v>
      </c>
      <c r="D53" s="49">
        <f t="shared" si="24"/>
        <v>3.6392963532376386E-3</v>
      </c>
      <c r="E53" s="130">
        <f>Markaz!E53+Avenue!E53</f>
        <v>951.5</v>
      </c>
      <c r="F53" s="49">
        <f t="shared" si="25"/>
        <v>4.677749519685059E-3</v>
      </c>
      <c r="G53" s="130">
        <f>Markaz!G53+Avenue!G53</f>
        <v>951.5</v>
      </c>
      <c r="H53" s="49">
        <f t="shared" si="26"/>
        <v>2.8199979321429603E-3</v>
      </c>
      <c r="I53" s="130">
        <f>Markaz!I53+Avenue!I53</f>
        <v>951.5</v>
      </c>
      <c r="J53" s="49">
        <f t="shared" si="27"/>
        <v>3.1936764020736308E-3</v>
      </c>
      <c r="K53" s="130">
        <f>Markaz!K53+Avenue!K53</f>
        <v>951.5</v>
      </c>
      <c r="L53" s="49">
        <f t="shared" si="28"/>
        <v>3.4918760639265499E-3</v>
      </c>
      <c r="M53" s="130">
        <f>Markaz!M53+Avenue!M53</f>
        <v>951.5</v>
      </c>
      <c r="N53" s="49">
        <f t="shared" si="29"/>
        <v>2.4625600764919963E-3</v>
      </c>
      <c r="O53" s="130">
        <f>Markaz!O53+Avenue!O53</f>
        <v>951.5</v>
      </c>
      <c r="P53" s="49">
        <f t="shared" si="30"/>
        <v>3.8896211220485017E-3</v>
      </c>
      <c r="Q53" s="130">
        <f>Markaz!Q53+Avenue!Q53</f>
        <v>951.5</v>
      </c>
      <c r="R53" s="49">
        <f t="shared" si="31"/>
        <v>3.1323981931127339E-3</v>
      </c>
      <c r="S53" s="130">
        <f>Markaz!S53+Avenue!S53</f>
        <v>951.5</v>
      </c>
      <c r="T53" s="49">
        <f t="shared" si="32"/>
        <v>3.1094526842229448E-3</v>
      </c>
      <c r="U53" s="130">
        <f>Markaz!U53+Avenue!U53</f>
        <v>951.5</v>
      </c>
      <c r="V53" s="49">
        <f t="shared" si="33"/>
        <v>3.9201047514077119E-3</v>
      </c>
      <c r="W53" s="130">
        <f>Markaz!W53+Avenue!W53</f>
        <v>951.5</v>
      </c>
      <c r="X53" s="49">
        <f t="shared" si="34"/>
        <v>3.8529042096679227E-3</v>
      </c>
      <c r="Y53" s="130">
        <f>Markaz!Y53+Avenue!Y53</f>
        <v>951.5</v>
      </c>
      <c r="Z53" s="168">
        <f t="shared" si="35"/>
        <v>2.550471534484987E-3</v>
      </c>
      <c r="AA53" s="275">
        <f t="shared" si="36"/>
        <v>11418</v>
      </c>
      <c r="AB53" s="203">
        <f t="shared" si="37"/>
        <v>3.2846039032333771E-3</v>
      </c>
      <c r="AC53" s="194">
        <f t="shared" si="38"/>
        <v>951.5</v>
      </c>
      <c r="AD53" s="203">
        <f t="shared" si="39"/>
        <v>3.2846039032333775E-3</v>
      </c>
      <c r="AE53" s="75"/>
      <c r="AF53" s="158"/>
      <c r="AG53" s="75"/>
      <c r="AH53" s="194">
        <v>5160</v>
      </c>
      <c r="AI53" s="244">
        <f>AH53/AH12</f>
        <v>6.4081058067684124E-3</v>
      </c>
      <c r="AJ53" s="282">
        <f t="shared" si="21"/>
        <v>17529.5</v>
      </c>
      <c r="AK53" s="53">
        <f t="shared" si="22"/>
        <v>0</v>
      </c>
      <c r="AL53" s="53">
        <f t="shared" si="17"/>
        <v>11418</v>
      </c>
      <c r="AM53" s="53">
        <f t="shared" si="40"/>
        <v>89441.000000000015</v>
      </c>
      <c r="AN53" s="53" t="e">
        <f>#REF!-AM53</f>
        <v>#REF!</v>
      </c>
      <c r="AO53" s="53" t="s">
        <v>210</v>
      </c>
    </row>
    <row r="54" spans="1:41">
      <c r="A54" s="98">
        <v>6113</v>
      </c>
      <c r="B54" s="107" t="s">
        <v>13</v>
      </c>
      <c r="C54" s="130">
        <f>Markaz!C54+Avenue!C54</f>
        <v>0</v>
      </c>
      <c r="D54" s="49">
        <f t="shared" si="24"/>
        <v>0</v>
      </c>
      <c r="E54" s="130">
        <f>Markaz!E54+Avenue!E54</f>
        <v>0</v>
      </c>
      <c r="F54" s="49">
        <f t="shared" si="25"/>
        <v>0</v>
      </c>
      <c r="G54" s="130">
        <f>Markaz!G54+Avenue!G54</f>
        <v>0</v>
      </c>
      <c r="H54" s="49">
        <f t="shared" si="26"/>
        <v>0</v>
      </c>
      <c r="I54" s="130">
        <f>Markaz!I54+Avenue!I54</f>
        <v>0</v>
      </c>
      <c r="J54" s="49">
        <f t="shared" si="27"/>
        <v>0</v>
      </c>
      <c r="K54" s="130">
        <f>Markaz!K54+Avenue!K54</f>
        <v>0</v>
      </c>
      <c r="L54" s="49">
        <f t="shared" si="28"/>
        <v>0</v>
      </c>
      <c r="M54" s="130">
        <f>Markaz!M54+Avenue!M54</f>
        <v>0</v>
      </c>
      <c r="N54" s="49">
        <f t="shared" si="29"/>
        <v>0</v>
      </c>
      <c r="O54" s="130">
        <f>Markaz!O54+Avenue!O54</f>
        <v>0</v>
      </c>
      <c r="P54" s="49">
        <f t="shared" si="30"/>
        <v>0</v>
      </c>
      <c r="Q54" s="130">
        <f>Markaz!Q54+Avenue!Q54</f>
        <v>0</v>
      </c>
      <c r="R54" s="49">
        <f t="shared" si="31"/>
        <v>0</v>
      </c>
      <c r="S54" s="130">
        <f>Markaz!S54+Avenue!S54</f>
        <v>0</v>
      </c>
      <c r="T54" s="49">
        <f t="shared" si="32"/>
        <v>0</v>
      </c>
      <c r="U54" s="130">
        <f>Markaz!U54+Avenue!U54</f>
        <v>0</v>
      </c>
      <c r="V54" s="49">
        <f t="shared" si="33"/>
        <v>0</v>
      </c>
      <c r="W54" s="130">
        <f>Markaz!W54+Avenue!W54</f>
        <v>0</v>
      </c>
      <c r="X54" s="49">
        <f t="shared" si="34"/>
        <v>0</v>
      </c>
      <c r="Y54" s="130">
        <f>Markaz!Y54+Avenue!Y54</f>
        <v>0</v>
      </c>
      <c r="Z54" s="168">
        <f t="shared" si="35"/>
        <v>0</v>
      </c>
      <c r="AA54" s="275">
        <f t="shared" si="36"/>
        <v>0</v>
      </c>
      <c r="AB54" s="203">
        <f t="shared" si="37"/>
        <v>0</v>
      </c>
      <c r="AC54" s="194">
        <f t="shared" si="38"/>
        <v>0</v>
      </c>
      <c r="AD54" s="203">
        <f t="shared" si="39"/>
        <v>0</v>
      </c>
      <c r="AE54" s="75"/>
      <c r="AF54" s="158"/>
      <c r="AG54" s="75"/>
      <c r="AH54" s="194">
        <v>0</v>
      </c>
      <c r="AI54" s="244">
        <f>AH54/AH12</f>
        <v>0</v>
      </c>
      <c r="AJ54" s="282">
        <f t="shared" si="21"/>
        <v>0</v>
      </c>
      <c r="AK54" s="53">
        <f t="shared" si="22"/>
        <v>0</v>
      </c>
      <c r="AL54" s="53">
        <f t="shared" si="17"/>
        <v>0</v>
      </c>
      <c r="AM54" s="53">
        <f t="shared" si="40"/>
        <v>0</v>
      </c>
      <c r="AN54" s="53" t="e">
        <f>#REF!-AM54</f>
        <v>#REF!</v>
      </c>
      <c r="AO54" s="53"/>
    </row>
    <row r="55" spans="1:41">
      <c r="A55" s="98">
        <v>6114</v>
      </c>
      <c r="B55" s="107" t="s">
        <v>88</v>
      </c>
      <c r="C55" s="23">
        <f>Markaz!C55+Avenue!C55</f>
        <v>700</v>
      </c>
      <c r="D55" s="49">
        <f t="shared" si="24"/>
        <v>2.6773593770534391E-3</v>
      </c>
      <c r="E55" s="23">
        <f>Markaz!E55+Avenue!E55</f>
        <v>700</v>
      </c>
      <c r="F55" s="49">
        <f t="shared" si="25"/>
        <v>3.441329126410448E-3</v>
      </c>
      <c r="G55" s="23">
        <f>Markaz!G55+Avenue!G55</f>
        <v>700</v>
      </c>
      <c r="H55" s="49">
        <f t="shared" si="26"/>
        <v>2.0746175013137908E-3</v>
      </c>
      <c r="I55" s="23">
        <f>Markaz!I55+Avenue!I55</f>
        <v>700</v>
      </c>
      <c r="J55" s="49">
        <f t="shared" si="27"/>
        <v>2.3495254665807058E-3</v>
      </c>
      <c r="K55" s="23">
        <f>Markaz!K55+Avenue!K55</f>
        <v>700</v>
      </c>
      <c r="L55" s="49">
        <f t="shared" si="28"/>
        <v>2.5689051442444404E-3</v>
      </c>
      <c r="M55" s="23">
        <f>Markaz!M55+Avenue!M55</f>
        <v>700</v>
      </c>
      <c r="N55" s="49">
        <f t="shared" si="29"/>
        <v>1.8116574393530185E-3</v>
      </c>
      <c r="O55" s="23">
        <f>Markaz!O55+Avenue!O55</f>
        <v>700</v>
      </c>
      <c r="P55" s="49">
        <f t="shared" si="30"/>
        <v>2.8615184292527076E-3</v>
      </c>
      <c r="Q55" s="23">
        <f>Markaz!Q55+Avenue!Q55</f>
        <v>700</v>
      </c>
      <c r="R55" s="49">
        <f t="shared" si="31"/>
        <v>2.3044442828995416E-3</v>
      </c>
      <c r="S55" s="23">
        <f>Markaz!S55+Avenue!S55</f>
        <v>700</v>
      </c>
      <c r="T55" s="49">
        <f t="shared" si="32"/>
        <v>2.2875637193442576E-3</v>
      </c>
      <c r="U55" s="23">
        <f>Markaz!U55+Avenue!U55</f>
        <v>700</v>
      </c>
      <c r="V55" s="49">
        <f t="shared" si="33"/>
        <v>2.8839446410776652E-3</v>
      </c>
      <c r="W55" s="23">
        <f>Markaz!W55+Avenue!W55</f>
        <v>700</v>
      </c>
      <c r="X55" s="49">
        <f t="shared" si="34"/>
        <v>2.834506512630106E-3</v>
      </c>
      <c r="Y55" s="23">
        <f>Markaz!Y55+Avenue!Y55</f>
        <v>700</v>
      </c>
      <c r="Z55" s="168">
        <f t="shared" si="35"/>
        <v>1.8763321851176993E-3</v>
      </c>
      <c r="AA55" s="275">
        <f t="shared" si="36"/>
        <v>8400</v>
      </c>
      <c r="AB55" s="203">
        <f t="shared" si="37"/>
        <v>2.4164190565037981E-3</v>
      </c>
      <c r="AC55" s="196">
        <f t="shared" si="38"/>
        <v>700</v>
      </c>
      <c r="AD55" s="203">
        <f t="shared" si="39"/>
        <v>2.4164190565037985E-3</v>
      </c>
      <c r="AE55" s="75"/>
      <c r="AF55" s="158"/>
      <c r="AG55" s="75"/>
      <c r="AH55" s="196">
        <v>2750</v>
      </c>
      <c r="AI55" s="244">
        <f>AH55/AH12</f>
        <v>3.4151726683358786E-3</v>
      </c>
      <c r="AJ55" s="282">
        <f t="shared" si="21"/>
        <v>11850</v>
      </c>
      <c r="AK55" s="53">
        <f t="shared" si="22"/>
        <v>0</v>
      </c>
      <c r="AL55" s="53">
        <f t="shared" si="17"/>
        <v>8400</v>
      </c>
      <c r="AM55" s="53">
        <f t="shared" si="40"/>
        <v>65800</v>
      </c>
      <c r="AN55" s="53" t="e">
        <f>#REF!-AM55</f>
        <v>#REF!</v>
      </c>
      <c r="AO55" s="53">
        <v>67.67</v>
      </c>
    </row>
    <row r="56" spans="1:41">
      <c r="A56" s="98">
        <v>6115</v>
      </c>
      <c r="B56" s="107" t="s">
        <v>14</v>
      </c>
      <c r="C56" s="54">
        <f>Markaz!C56+Avenue!C56</f>
        <v>150</v>
      </c>
      <c r="D56" s="17">
        <f t="shared" si="24"/>
        <v>5.7371986651145123E-4</v>
      </c>
      <c r="E56" s="54">
        <f>Markaz!E56+Avenue!E56</f>
        <v>150</v>
      </c>
      <c r="F56" s="17">
        <f t="shared" si="25"/>
        <v>7.3742766994509595E-4</v>
      </c>
      <c r="G56" s="54">
        <f>Markaz!G56+Avenue!G56</f>
        <v>150</v>
      </c>
      <c r="H56" s="17">
        <f t="shared" si="26"/>
        <v>4.4456089313866951E-4</v>
      </c>
      <c r="I56" s="54">
        <f>Markaz!I56+Avenue!I56</f>
        <v>150</v>
      </c>
      <c r="J56" s="17">
        <f t="shared" si="27"/>
        <v>5.034697428387227E-4</v>
      </c>
      <c r="K56" s="54">
        <f>Markaz!K56+Avenue!K56</f>
        <v>150</v>
      </c>
      <c r="L56" s="17">
        <f t="shared" si="28"/>
        <v>5.5047967376666582E-4</v>
      </c>
      <c r="M56" s="54">
        <f>Markaz!M56+Avenue!M56</f>
        <v>150</v>
      </c>
      <c r="N56" s="17">
        <f t="shared" si="29"/>
        <v>3.882123084327897E-4</v>
      </c>
      <c r="O56" s="54">
        <f>Markaz!O56+Avenue!O56</f>
        <v>150</v>
      </c>
      <c r="P56" s="17">
        <f t="shared" si="30"/>
        <v>6.1318252055415164E-4</v>
      </c>
      <c r="Q56" s="54">
        <f>Markaz!Q56+Avenue!Q56</f>
        <v>150</v>
      </c>
      <c r="R56" s="17">
        <f t="shared" si="31"/>
        <v>4.9380948919275889E-4</v>
      </c>
      <c r="S56" s="54">
        <f>Markaz!S56+Avenue!S56</f>
        <v>150</v>
      </c>
      <c r="T56" s="17">
        <f t="shared" si="32"/>
        <v>4.9019222557376949E-4</v>
      </c>
      <c r="U56" s="54">
        <f>Markaz!U56+Avenue!U56</f>
        <v>150</v>
      </c>
      <c r="V56" s="17">
        <f t="shared" si="33"/>
        <v>6.1798813737378539E-4</v>
      </c>
      <c r="W56" s="54">
        <f>Markaz!W56+Avenue!W56</f>
        <v>150</v>
      </c>
      <c r="X56" s="17">
        <f t="shared" si="34"/>
        <v>6.0739425270645128E-4</v>
      </c>
      <c r="Y56" s="54">
        <f>Markaz!Y56+Avenue!Y56</f>
        <v>150</v>
      </c>
      <c r="Z56" s="215">
        <f t="shared" si="35"/>
        <v>4.0207118252522128E-4</v>
      </c>
      <c r="AA56" s="275">
        <f t="shared" si="36"/>
        <v>1800</v>
      </c>
      <c r="AB56" s="203">
        <f t="shared" si="37"/>
        <v>5.1780408353652824E-4</v>
      </c>
      <c r="AC56" s="196">
        <f t="shared" si="38"/>
        <v>150</v>
      </c>
      <c r="AD56" s="203">
        <f t="shared" si="39"/>
        <v>5.1780408353652824E-4</v>
      </c>
      <c r="AE56" s="75"/>
      <c r="AF56" s="158"/>
      <c r="AG56" s="75"/>
      <c r="AH56" s="196">
        <v>900</v>
      </c>
      <c r="AI56" s="244">
        <f>AH56/AH12</f>
        <v>1.1176928732735602E-3</v>
      </c>
      <c r="AJ56" s="282">
        <f t="shared" si="21"/>
        <v>2850</v>
      </c>
      <c r="AK56" s="53">
        <f t="shared" si="22"/>
        <v>0</v>
      </c>
      <c r="AL56" s="53">
        <f t="shared" si="17"/>
        <v>1800</v>
      </c>
      <c r="AM56" s="53">
        <f t="shared" si="40"/>
        <v>14100</v>
      </c>
      <c r="AN56" s="53" t="e">
        <f>#REF!-AM56</f>
        <v>#REF!</v>
      </c>
      <c r="AO56" s="53">
        <v>40.15</v>
      </c>
    </row>
    <row r="57" spans="1:41">
      <c r="A57" s="98">
        <v>6116</v>
      </c>
      <c r="B57" s="107" t="s">
        <v>15</v>
      </c>
      <c r="C57" s="378">
        <f>Markaz!C57+Avenue!C57</f>
        <v>470.58499999999998</v>
      </c>
      <c r="D57" s="49">
        <f t="shared" si="24"/>
        <v>1.799893089215275E-3</v>
      </c>
      <c r="E57" s="378">
        <f>Markaz!E57+Avenue!E57</f>
        <v>470.58499999999998</v>
      </c>
      <c r="F57" s="49">
        <f t="shared" si="25"/>
        <v>2.3134826670740865E-3</v>
      </c>
      <c r="G57" s="378">
        <f>Markaz!G57+Avenue!G57</f>
        <v>470.58499999999998</v>
      </c>
      <c r="H57" s="49">
        <f t="shared" si="26"/>
        <v>1.3946912526510719E-3</v>
      </c>
      <c r="I57" s="378">
        <f>Markaz!I57+Avenue!I57</f>
        <v>470.58499999999998</v>
      </c>
      <c r="J57" s="49">
        <f t="shared" si="27"/>
        <v>1.579502059558402E-3</v>
      </c>
      <c r="K57" s="378">
        <f>Markaz!K57+Avenue!K57</f>
        <v>470.58499999999998</v>
      </c>
      <c r="L57" s="49">
        <f t="shared" si="28"/>
        <v>1.7269831818632426E-3</v>
      </c>
      <c r="M57" s="378">
        <f>Markaz!M57+Avenue!M57</f>
        <v>470.58499999999998</v>
      </c>
      <c r="N57" s="49">
        <f t="shared" si="29"/>
        <v>1.217912594425629E-3</v>
      </c>
      <c r="O57" s="378">
        <f>Markaz!O57+Avenue!O57</f>
        <v>470.58499999999998</v>
      </c>
      <c r="P57" s="49">
        <f t="shared" si="30"/>
        <v>1.9236966428998361E-3</v>
      </c>
      <c r="Q57" s="378">
        <f>Markaz!Q57+Avenue!Q57</f>
        <v>470.58499999999998</v>
      </c>
      <c r="R57" s="49">
        <f t="shared" si="31"/>
        <v>1.5491955898118295E-3</v>
      </c>
      <c r="S57" s="378">
        <f>Markaz!S57+Avenue!S57</f>
        <v>470.58499999999998</v>
      </c>
      <c r="T57" s="49">
        <f t="shared" si="32"/>
        <v>1.5378473898108821E-3</v>
      </c>
      <c r="U57" s="378">
        <f>Markaz!U57+Avenue!U57</f>
        <v>470.58499999999998</v>
      </c>
      <c r="V57" s="49">
        <f t="shared" si="33"/>
        <v>1.9387729841736185E-3</v>
      </c>
      <c r="W57" s="378">
        <f>Markaz!W57+Avenue!W57</f>
        <v>470.58499999999998</v>
      </c>
      <c r="X57" s="49">
        <f t="shared" si="34"/>
        <v>1.9055374960657691E-3</v>
      </c>
      <c r="Y57" s="378">
        <f>Markaz!Y57+Avenue!Y57</f>
        <v>470.58499999999998</v>
      </c>
      <c r="Z57" s="168">
        <f t="shared" si="35"/>
        <v>1.2613911161908748E-3</v>
      </c>
      <c r="AA57" s="275">
        <f t="shared" si="36"/>
        <v>5647.0199999999995</v>
      </c>
      <c r="AB57" s="203">
        <f t="shared" si="37"/>
        <v>1.624472231006914E-3</v>
      </c>
      <c r="AC57" s="196">
        <f t="shared" si="38"/>
        <v>470.58499999999998</v>
      </c>
      <c r="AD57" s="203">
        <f t="shared" si="39"/>
        <v>1.6244722310069142E-3</v>
      </c>
      <c r="AE57" s="75"/>
      <c r="AF57" s="158"/>
      <c r="AG57" s="75"/>
      <c r="AH57" s="196">
        <v>1200</v>
      </c>
      <c r="AI57" s="244">
        <f>AH57/AH12</f>
        <v>1.4902571643647471E-3</v>
      </c>
      <c r="AJ57" s="282">
        <f t="shared" si="21"/>
        <v>7317.6049999999996</v>
      </c>
      <c r="AK57" s="53">
        <f t="shared" si="22"/>
        <v>0</v>
      </c>
      <c r="AL57" s="53">
        <f t="shared" si="17"/>
        <v>5647.0199999999995</v>
      </c>
      <c r="AM57" s="53">
        <f t="shared" si="40"/>
        <v>44234.989999999991</v>
      </c>
      <c r="AN57" s="53" t="e">
        <f>#REF!-AM57</f>
        <v>#REF!</v>
      </c>
      <c r="AO57" s="53" t="s">
        <v>212</v>
      </c>
    </row>
    <row r="58" spans="1:41">
      <c r="A58" s="98">
        <v>6117</v>
      </c>
      <c r="B58" s="107" t="s">
        <v>16</v>
      </c>
      <c r="C58" s="130">
        <f>Markaz!C58+Avenue!C58</f>
        <v>0</v>
      </c>
      <c r="D58" s="49">
        <f t="shared" si="24"/>
        <v>0</v>
      </c>
      <c r="E58" s="130">
        <f>Markaz!E58+Avenue!E58</f>
        <v>0</v>
      </c>
      <c r="F58" s="49">
        <f t="shared" si="25"/>
        <v>0</v>
      </c>
      <c r="G58" s="130">
        <f>Markaz!G58+Avenue!G58</f>
        <v>0</v>
      </c>
      <c r="H58" s="49">
        <f t="shared" si="26"/>
        <v>0</v>
      </c>
      <c r="I58" s="130">
        <f>Markaz!I58+Avenue!I58</f>
        <v>0</v>
      </c>
      <c r="J58" s="49">
        <f t="shared" si="27"/>
        <v>0</v>
      </c>
      <c r="K58" s="130">
        <f>Markaz!K58+Avenue!K58</f>
        <v>0</v>
      </c>
      <c r="L58" s="49">
        <f t="shared" si="28"/>
        <v>0</v>
      </c>
      <c r="M58" s="130">
        <f>Markaz!M58+Avenue!M58</f>
        <v>0</v>
      </c>
      <c r="N58" s="49">
        <f t="shared" si="29"/>
        <v>0</v>
      </c>
      <c r="O58" s="130">
        <f>Markaz!O58+Avenue!O58</f>
        <v>0</v>
      </c>
      <c r="P58" s="49">
        <f t="shared" si="30"/>
        <v>0</v>
      </c>
      <c r="Q58" s="130">
        <f>Markaz!Q58+Avenue!Q58</f>
        <v>0</v>
      </c>
      <c r="R58" s="49">
        <f t="shared" si="31"/>
        <v>0</v>
      </c>
      <c r="S58" s="130">
        <f>Markaz!S58+Avenue!S58</f>
        <v>0</v>
      </c>
      <c r="T58" s="49">
        <f t="shared" si="32"/>
        <v>0</v>
      </c>
      <c r="U58" s="130">
        <f>Markaz!U58+Avenue!U58</f>
        <v>0</v>
      </c>
      <c r="V58" s="49">
        <f t="shared" si="33"/>
        <v>0</v>
      </c>
      <c r="W58" s="130">
        <f>Markaz!W58+Avenue!W58</f>
        <v>0</v>
      </c>
      <c r="X58" s="49">
        <f t="shared" si="34"/>
        <v>0</v>
      </c>
      <c r="Y58" s="130">
        <f>Markaz!Y58+Avenue!Y58</f>
        <v>0</v>
      </c>
      <c r="Z58" s="168">
        <f t="shared" si="35"/>
        <v>0</v>
      </c>
      <c r="AA58" s="275">
        <f t="shared" si="36"/>
        <v>0</v>
      </c>
      <c r="AB58" s="203">
        <f t="shared" si="37"/>
        <v>0</v>
      </c>
      <c r="AC58" s="194">
        <f t="shared" si="38"/>
        <v>0</v>
      </c>
      <c r="AD58" s="203">
        <f t="shared" si="39"/>
        <v>0</v>
      </c>
      <c r="AE58" s="75"/>
      <c r="AF58" s="158"/>
      <c r="AG58" s="75"/>
      <c r="AH58" s="194">
        <v>0</v>
      </c>
      <c r="AI58" s="244">
        <f>AH58/AH12</f>
        <v>0</v>
      </c>
      <c r="AJ58" s="282">
        <f t="shared" si="21"/>
        <v>0</v>
      </c>
      <c r="AK58" s="53">
        <f t="shared" si="22"/>
        <v>0</v>
      </c>
      <c r="AL58" s="53">
        <f t="shared" si="17"/>
        <v>0</v>
      </c>
      <c r="AM58" s="53">
        <f t="shared" si="40"/>
        <v>0</v>
      </c>
      <c r="AN58" s="53" t="e">
        <f>#REF!-AM58</f>
        <v>#REF!</v>
      </c>
      <c r="AO58" s="53"/>
    </row>
    <row r="59" spans="1:41">
      <c r="A59" s="98">
        <v>6118</v>
      </c>
      <c r="B59" s="108" t="s">
        <v>17</v>
      </c>
      <c r="C59" s="79">
        <f>Markaz!C59+Avenue!C59</f>
        <v>1100</v>
      </c>
      <c r="D59" s="49">
        <f t="shared" si="24"/>
        <v>4.2072790210839752E-3</v>
      </c>
      <c r="E59" s="79">
        <f>Markaz!E59+Avenue!E59</f>
        <v>1100</v>
      </c>
      <c r="F59" s="49">
        <f t="shared" si="25"/>
        <v>5.4078029129307039E-3</v>
      </c>
      <c r="G59" s="79">
        <f>Markaz!G59+Avenue!G59</f>
        <v>1100</v>
      </c>
      <c r="H59" s="49">
        <f t="shared" si="26"/>
        <v>3.2601132163502431E-3</v>
      </c>
      <c r="I59" s="79">
        <f>Markaz!I59+Avenue!I59</f>
        <v>1100</v>
      </c>
      <c r="J59" s="49">
        <f t="shared" si="27"/>
        <v>3.6921114474839662E-3</v>
      </c>
      <c r="K59" s="79">
        <f>Markaz!K59+Avenue!K59</f>
        <v>1500</v>
      </c>
      <c r="L59" s="49">
        <f t="shared" si="28"/>
        <v>5.504796737666658E-3</v>
      </c>
      <c r="M59" s="79">
        <f>Markaz!M59+Avenue!M59</f>
        <v>1500</v>
      </c>
      <c r="N59" s="49">
        <f t="shared" si="29"/>
        <v>3.882123084327897E-3</v>
      </c>
      <c r="O59" s="79">
        <f>Markaz!O59+Avenue!O59</f>
        <v>1500</v>
      </c>
      <c r="P59" s="49">
        <f t="shared" si="30"/>
        <v>6.1318252055415157E-3</v>
      </c>
      <c r="Q59" s="79">
        <f>Markaz!Q59+Avenue!Q59</f>
        <v>1500</v>
      </c>
      <c r="R59" s="49">
        <f t="shared" si="31"/>
        <v>4.9380948919275887E-3</v>
      </c>
      <c r="S59" s="79">
        <f>Markaz!S59+Avenue!S59</f>
        <v>1500</v>
      </c>
      <c r="T59" s="49">
        <f t="shared" si="32"/>
        <v>4.9019222557376953E-3</v>
      </c>
      <c r="U59" s="79">
        <f>Markaz!U59+Avenue!U59</f>
        <v>1200</v>
      </c>
      <c r="V59" s="49">
        <f t="shared" si="33"/>
        <v>4.9439050989902832E-3</v>
      </c>
      <c r="W59" s="79">
        <f>Markaz!W59+Avenue!W59</f>
        <v>1200</v>
      </c>
      <c r="X59" s="49">
        <f t="shared" si="34"/>
        <v>4.8591540216516103E-3</v>
      </c>
      <c r="Y59" s="79">
        <f>Markaz!Y59+Avenue!Y59</f>
        <v>1200</v>
      </c>
      <c r="Z59" s="168">
        <f t="shared" si="35"/>
        <v>3.2165694602017702E-3</v>
      </c>
      <c r="AA59" s="275">
        <f t="shared" si="36"/>
        <v>15500</v>
      </c>
      <c r="AB59" s="203">
        <f t="shared" si="37"/>
        <v>4.4588684971201041E-3</v>
      </c>
      <c r="AC59" s="196">
        <f t="shared" si="38"/>
        <v>1291.6666666666667</v>
      </c>
      <c r="AD59" s="203">
        <f t="shared" si="39"/>
        <v>4.4588684971201041E-3</v>
      </c>
      <c r="AE59" s="159"/>
      <c r="AF59" s="159"/>
      <c r="AG59" s="159"/>
      <c r="AH59" s="196">
        <v>0</v>
      </c>
      <c r="AI59" s="244">
        <f>AH59/AH$5</f>
        <v>0</v>
      </c>
      <c r="AJ59" s="282">
        <f t="shared" si="21"/>
        <v>16791.666666666668</v>
      </c>
      <c r="AK59" s="53">
        <f t="shared" si="22"/>
        <v>0</v>
      </c>
      <c r="AL59" s="53">
        <f t="shared" si="17"/>
        <v>15500</v>
      </c>
      <c r="AM59" s="53">
        <f t="shared" si="40"/>
        <v>125020</v>
      </c>
      <c r="AN59" s="53" t="e">
        <f>#REF!-AM59</f>
        <v>#REF!</v>
      </c>
      <c r="AO59" s="53"/>
    </row>
    <row r="60" spans="1:41">
      <c r="A60" s="98">
        <v>6119</v>
      </c>
      <c r="B60" s="107" t="s">
        <v>18</v>
      </c>
      <c r="C60" s="130">
        <f>Markaz!C60+Avenue!C60</f>
        <v>0</v>
      </c>
      <c r="D60" s="49">
        <f t="shared" si="24"/>
        <v>0</v>
      </c>
      <c r="E60" s="130">
        <f>Markaz!E60+Avenue!E60</f>
        <v>0</v>
      </c>
      <c r="F60" s="49">
        <f t="shared" si="25"/>
        <v>0</v>
      </c>
      <c r="G60" s="130">
        <f>Markaz!G60+Avenue!G60</f>
        <v>0</v>
      </c>
      <c r="H60" s="49">
        <f t="shared" si="26"/>
        <v>0</v>
      </c>
      <c r="I60" s="130">
        <f>Markaz!I60+Avenue!I60</f>
        <v>0</v>
      </c>
      <c r="J60" s="49">
        <f t="shared" si="27"/>
        <v>0</v>
      </c>
      <c r="K60" s="130">
        <f>Markaz!K60+Avenue!K60</f>
        <v>0</v>
      </c>
      <c r="L60" s="49">
        <f t="shared" si="28"/>
        <v>0</v>
      </c>
      <c r="M60" s="130">
        <f>Markaz!M60+Avenue!M60</f>
        <v>0</v>
      </c>
      <c r="N60" s="49">
        <f t="shared" si="29"/>
        <v>0</v>
      </c>
      <c r="O60" s="130">
        <f>Markaz!O60+Avenue!O60</f>
        <v>0</v>
      </c>
      <c r="P60" s="49">
        <f t="shared" si="30"/>
        <v>0</v>
      </c>
      <c r="Q60" s="130">
        <f>Markaz!Q60+Avenue!Q60</f>
        <v>0</v>
      </c>
      <c r="R60" s="49">
        <f t="shared" si="31"/>
        <v>0</v>
      </c>
      <c r="S60" s="130">
        <f>Markaz!S60+Avenue!S60</f>
        <v>0</v>
      </c>
      <c r="T60" s="49">
        <f t="shared" si="32"/>
        <v>0</v>
      </c>
      <c r="U60" s="130">
        <f>Markaz!U60+Avenue!U60</f>
        <v>0</v>
      </c>
      <c r="V60" s="49">
        <f t="shared" si="33"/>
        <v>0</v>
      </c>
      <c r="W60" s="130">
        <f>Markaz!W60+Avenue!W60</f>
        <v>0</v>
      </c>
      <c r="X60" s="49">
        <f t="shared" si="34"/>
        <v>0</v>
      </c>
      <c r="Y60" s="130">
        <f>Markaz!Y60+Avenue!Y60</f>
        <v>0</v>
      </c>
      <c r="Z60" s="168">
        <f t="shared" si="35"/>
        <v>0</v>
      </c>
      <c r="AA60" s="275">
        <f t="shared" si="36"/>
        <v>0</v>
      </c>
      <c r="AB60" s="203">
        <f t="shared" si="37"/>
        <v>0</v>
      </c>
      <c r="AC60" s="194">
        <f t="shared" si="38"/>
        <v>0</v>
      </c>
      <c r="AD60" s="203">
        <f t="shared" si="39"/>
        <v>0</v>
      </c>
      <c r="AE60" s="75"/>
      <c r="AF60" s="158"/>
      <c r="AG60" s="75"/>
      <c r="AH60" s="194">
        <v>0</v>
      </c>
      <c r="AI60" s="244">
        <f>AH60/AH12</f>
        <v>0</v>
      </c>
      <c r="AJ60" s="282">
        <f t="shared" si="21"/>
        <v>0</v>
      </c>
      <c r="AK60" s="53">
        <f t="shared" si="22"/>
        <v>0</v>
      </c>
      <c r="AL60" s="53">
        <f t="shared" si="17"/>
        <v>0</v>
      </c>
      <c r="AM60" s="53">
        <f t="shared" si="40"/>
        <v>0</v>
      </c>
      <c r="AN60" s="53" t="e">
        <f>#REF!-AM60</f>
        <v>#REF!</v>
      </c>
      <c r="AO60" s="53"/>
    </row>
    <row r="61" spans="1:41">
      <c r="A61" s="98">
        <v>6120</v>
      </c>
      <c r="B61" s="107" t="s">
        <v>19</v>
      </c>
      <c r="C61" s="130">
        <f>Markaz!C61+Avenue!C61</f>
        <v>0</v>
      </c>
      <c r="D61" s="49">
        <f t="shared" si="24"/>
        <v>0</v>
      </c>
      <c r="E61" s="130">
        <f>Markaz!E61+Avenue!E61</f>
        <v>0</v>
      </c>
      <c r="F61" s="49">
        <f t="shared" si="25"/>
        <v>0</v>
      </c>
      <c r="G61" s="130">
        <f>Markaz!G61+Avenue!G61</f>
        <v>0</v>
      </c>
      <c r="H61" s="49">
        <f t="shared" si="26"/>
        <v>0</v>
      </c>
      <c r="I61" s="130">
        <f>Markaz!I61+Avenue!I61</f>
        <v>0</v>
      </c>
      <c r="J61" s="49">
        <f t="shared" si="27"/>
        <v>0</v>
      </c>
      <c r="K61" s="130">
        <f>Markaz!K61+Avenue!K61</f>
        <v>0</v>
      </c>
      <c r="L61" s="49">
        <f t="shared" si="28"/>
        <v>0</v>
      </c>
      <c r="M61" s="130">
        <f>Markaz!M61+Avenue!M61</f>
        <v>0</v>
      </c>
      <c r="N61" s="49">
        <f t="shared" si="29"/>
        <v>0</v>
      </c>
      <c r="O61" s="130">
        <f>Markaz!O61+Avenue!O61</f>
        <v>0</v>
      </c>
      <c r="P61" s="49">
        <f t="shared" si="30"/>
        <v>0</v>
      </c>
      <c r="Q61" s="130">
        <f>Markaz!Q61+Avenue!Q61</f>
        <v>0</v>
      </c>
      <c r="R61" s="49">
        <f t="shared" si="31"/>
        <v>0</v>
      </c>
      <c r="S61" s="130">
        <f>Markaz!S61+Avenue!S61</f>
        <v>0</v>
      </c>
      <c r="T61" s="49">
        <f t="shared" si="32"/>
        <v>0</v>
      </c>
      <c r="U61" s="130">
        <f>Markaz!U61+Avenue!U61</f>
        <v>0</v>
      </c>
      <c r="V61" s="49">
        <f t="shared" si="33"/>
        <v>0</v>
      </c>
      <c r="W61" s="130">
        <f>Markaz!W61+Avenue!W61</f>
        <v>0</v>
      </c>
      <c r="X61" s="49">
        <f t="shared" si="34"/>
        <v>0</v>
      </c>
      <c r="Y61" s="130">
        <f>Markaz!Y61+Avenue!Y61</f>
        <v>0</v>
      </c>
      <c r="Z61" s="168">
        <f t="shared" si="35"/>
        <v>0</v>
      </c>
      <c r="AA61" s="275">
        <f t="shared" si="36"/>
        <v>0</v>
      </c>
      <c r="AB61" s="203">
        <f t="shared" si="37"/>
        <v>0</v>
      </c>
      <c r="AC61" s="194">
        <f t="shared" si="38"/>
        <v>0</v>
      </c>
      <c r="AD61" s="203">
        <f t="shared" si="39"/>
        <v>0</v>
      </c>
      <c r="AE61" s="75"/>
      <c r="AF61" s="158"/>
      <c r="AG61" s="75"/>
      <c r="AH61" s="194">
        <v>0</v>
      </c>
      <c r="AI61" s="244">
        <f>AH61/AH12</f>
        <v>0</v>
      </c>
      <c r="AJ61" s="282">
        <f t="shared" si="21"/>
        <v>0</v>
      </c>
      <c r="AK61" s="53">
        <f t="shared" si="22"/>
        <v>0</v>
      </c>
      <c r="AL61" s="53">
        <f t="shared" si="17"/>
        <v>0</v>
      </c>
      <c r="AM61" s="53">
        <f t="shared" si="40"/>
        <v>0</v>
      </c>
      <c r="AN61" s="53" t="e">
        <f>#REF!-AM61</f>
        <v>#REF!</v>
      </c>
      <c r="AO61" s="53"/>
    </row>
    <row r="62" spans="1:41">
      <c r="A62" s="2">
        <v>6121</v>
      </c>
      <c r="B62" s="107" t="s">
        <v>20</v>
      </c>
      <c r="C62" s="18">
        <f>Markaz!C62+Avenue!C62</f>
        <v>80</v>
      </c>
      <c r="D62" s="49">
        <f t="shared" si="24"/>
        <v>3.0598392880610729E-4</v>
      </c>
      <c r="E62" s="18">
        <f>Markaz!E62+Avenue!E62</f>
        <v>80</v>
      </c>
      <c r="F62" s="49">
        <f t="shared" si="25"/>
        <v>3.9329475730405121E-4</v>
      </c>
      <c r="G62" s="18">
        <f>Markaz!G62+Avenue!G62</f>
        <v>80</v>
      </c>
      <c r="H62" s="49">
        <f t="shared" si="26"/>
        <v>2.3709914300729039E-4</v>
      </c>
      <c r="I62" s="18">
        <f>Markaz!I62+Avenue!I62</f>
        <v>80</v>
      </c>
      <c r="J62" s="49">
        <f t="shared" si="27"/>
        <v>2.6851719618065209E-4</v>
      </c>
      <c r="K62" s="18">
        <f>Markaz!K62+Avenue!K62</f>
        <v>80</v>
      </c>
      <c r="L62" s="49">
        <f t="shared" si="28"/>
        <v>2.9358915934222173E-4</v>
      </c>
      <c r="M62" s="18">
        <f>Markaz!M62+Avenue!M62</f>
        <v>80</v>
      </c>
      <c r="N62" s="49">
        <f t="shared" si="29"/>
        <v>2.0704656449748785E-4</v>
      </c>
      <c r="O62" s="18">
        <f>Markaz!O62+Avenue!O62</f>
        <v>80</v>
      </c>
      <c r="P62" s="49">
        <f t="shared" si="30"/>
        <v>3.2703067762888087E-4</v>
      </c>
      <c r="Q62" s="18">
        <f>Markaz!Q62+Avenue!Q62</f>
        <v>80</v>
      </c>
      <c r="R62" s="49">
        <f t="shared" si="31"/>
        <v>2.6336506090280477E-4</v>
      </c>
      <c r="S62" s="18">
        <f>Markaz!S62+Avenue!S62</f>
        <v>80</v>
      </c>
      <c r="T62" s="49">
        <f t="shared" si="32"/>
        <v>2.6143585363934375E-4</v>
      </c>
      <c r="U62" s="18">
        <f>Markaz!U62+Avenue!U62</f>
        <v>80</v>
      </c>
      <c r="V62" s="49">
        <f t="shared" si="33"/>
        <v>3.2959367326601888E-4</v>
      </c>
      <c r="W62" s="18">
        <f>Markaz!W62+Avenue!W62</f>
        <v>80</v>
      </c>
      <c r="X62" s="49">
        <f t="shared" si="34"/>
        <v>3.2394360144344066E-4</v>
      </c>
      <c r="Y62" s="18">
        <f>Markaz!Y62+Avenue!Y62</f>
        <v>80</v>
      </c>
      <c r="Z62" s="168">
        <f t="shared" si="35"/>
        <v>2.1443796401345133E-4</v>
      </c>
      <c r="AA62" s="275">
        <f t="shared" si="36"/>
        <v>960</v>
      </c>
      <c r="AB62" s="203">
        <f t="shared" si="37"/>
        <v>2.7616217788614835E-4</v>
      </c>
      <c r="AC62" s="194">
        <f t="shared" si="38"/>
        <v>80</v>
      </c>
      <c r="AD62" s="203">
        <f t="shared" si="39"/>
        <v>2.761621778861484E-4</v>
      </c>
      <c r="AE62" s="75"/>
      <c r="AF62" s="158"/>
      <c r="AG62" s="75"/>
      <c r="AH62" s="194">
        <v>600</v>
      </c>
      <c r="AI62" s="244">
        <f>AH62/AH12</f>
        <v>7.4512858218237356E-4</v>
      </c>
      <c r="AJ62" s="282">
        <f t="shared" si="21"/>
        <v>1640</v>
      </c>
      <c r="AK62" s="53">
        <f t="shared" si="22"/>
        <v>0</v>
      </c>
      <c r="AL62" s="53">
        <f t="shared" si="17"/>
        <v>960</v>
      </c>
      <c r="AM62" s="53">
        <f t="shared" si="40"/>
        <v>7520</v>
      </c>
      <c r="AN62" s="53" t="e">
        <f>#REF!-AM62</f>
        <v>#REF!</v>
      </c>
      <c r="AO62" s="53">
        <v>18.36</v>
      </c>
    </row>
    <row r="63" spans="1:41">
      <c r="A63" s="2">
        <v>6122</v>
      </c>
      <c r="B63" s="107" t="s">
        <v>21</v>
      </c>
      <c r="C63" s="130">
        <f>Markaz!C63+Avenue!C63</f>
        <v>0</v>
      </c>
      <c r="D63" s="49">
        <f t="shared" si="24"/>
        <v>0</v>
      </c>
      <c r="E63" s="130">
        <f>Markaz!E63+Avenue!E63</f>
        <v>0</v>
      </c>
      <c r="F63" s="49">
        <f t="shared" si="25"/>
        <v>0</v>
      </c>
      <c r="G63" s="130">
        <f>Markaz!G63+Avenue!G63</f>
        <v>0</v>
      </c>
      <c r="H63" s="49">
        <f t="shared" si="26"/>
        <v>0</v>
      </c>
      <c r="I63" s="130">
        <f>Markaz!I63+Avenue!I63</f>
        <v>0</v>
      </c>
      <c r="J63" s="49">
        <f t="shared" si="27"/>
        <v>0</v>
      </c>
      <c r="K63" s="130">
        <f>Markaz!K63+Avenue!K63</f>
        <v>0</v>
      </c>
      <c r="L63" s="49">
        <f t="shared" si="28"/>
        <v>0</v>
      </c>
      <c r="M63" s="130">
        <f>Markaz!M63+Avenue!M63</f>
        <v>0</v>
      </c>
      <c r="N63" s="49">
        <f t="shared" si="29"/>
        <v>0</v>
      </c>
      <c r="O63" s="130">
        <f>Markaz!O63+Avenue!O63</f>
        <v>0</v>
      </c>
      <c r="P63" s="49">
        <f t="shared" si="30"/>
        <v>0</v>
      </c>
      <c r="Q63" s="130">
        <f>Markaz!Q63+Avenue!Q63</f>
        <v>0</v>
      </c>
      <c r="R63" s="49">
        <f t="shared" si="31"/>
        <v>0</v>
      </c>
      <c r="S63" s="130">
        <f>Markaz!S63+Avenue!S63</f>
        <v>0</v>
      </c>
      <c r="T63" s="49">
        <f t="shared" si="32"/>
        <v>0</v>
      </c>
      <c r="U63" s="130">
        <f>Markaz!U63+Avenue!U63</f>
        <v>0</v>
      </c>
      <c r="V63" s="49">
        <f t="shared" si="33"/>
        <v>0</v>
      </c>
      <c r="W63" s="130">
        <f>Markaz!W63+Avenue!W63</f>
        <v>0</v>
      </c>
      <c r="X63" s="49">
        <f t="shared" si="34"/>
        <v>0</v>
      </c>
      <c r="Y63" s="130">
        <f>Markaz!Y63+Avenue!Y63</f>
        <v>0</v>
      </c>
      <c r="Z63" s="168">
        <f t="shared" si="35"/>
        <v>0</v>
      </c>
      <c r="AA63" s="275">
        <f t="shared" si="36"/>
        <v>0</v>
      </c>
      <c r="AB63" s="203">
        <f t="shared" si="37"/>
        <v>0</v>
      </c>
      <c r="AC63" s="194">
        <f t="shared" si="38"/>
        <v>0</v>
      </c>
      <c r="AD63" s="203">
        <f t="shared" si="39"/>
        <v>0</v>
      </c>
      <c r="AE63" s="75"/>
      <c r="AF63" s="158"/>
      <c r="AG63" s="75"/>
      <c r="AH63" s="194">
        <v>0</v>
      </c>
      <c r="AI63" s="244">
        <f>AH63/AH12</f>
        <v>0</v>
      </c>
      <c r="AJ63" s="282">
        <f t="shared" si="21"/>
        <v>0</v>
      </c>
      <c r="AK63" s="53">
        <f t="shared" si="22"/>
        <v>0</v>
      </c>
      <c r="AL63" s="53">
        <f t="shared" si="17"/>
        <v>0</v>
      </c>
      <c r="AM63" s="53">
        <f t="shared" si="40"/>
        <v>0</v>
      </c>
      <c r="AN63" s="53" t="e">
        <f>#REF!-AM63</f>
        <v>#REF!</v>
      </c>
      <c r="AO63" s="53"/>
    </row>
    <row r="64" spans="1:41">
      <c r="A64" s="2">
        <v>6123</v>
      </c>
      <c r="B64" s="107" t="s">
        <v>22</v>
      </c>
      <c r="C64" s="130">
        <f>Markaz!C64+Avenue!C64</f>
        <v>0</v>
      </c>
      <c r="D64" s="49">
        <f t="shared" si="24"/>
        <v>0</v>
      </c>
      <c r="E64" s="130">
        <f>Markaz!E64+Avenue!E64</f>
        <v>0</v>
      </c>
      <c r="F64" s="49">
        <f t="shared" si="25"/>
        <v>0</v>
      </c>
      <c r="G64" s="130">
        <f>Markaz!G64+Avenue!G64</f>
        <v>0</v>
      </c>
      <c r="H64" s="49">
        <f t="shared" si="26"/>
        <v>0</v>
      </c>
      <c r="I64" s="130">
        <f>Markaz!I64+Avenue!I64</f>
        <v>0</v>
      </c>
      <c r="J64" s="49">
        <f t="shared" si="27"/>
        <v>0</v>
      </c>
      <c r="K64" s="130">
        <f>Markaz!K64+Avenue!K64</f>
        <v>0</v>
      </c>
      <c r="L64" s="49">
        <f t="shared" si="28"/>
        <v>0</v>
      </c>
      <c r="M64" s="130">
        <f>Markaz!M64+Avenue!M64</f>
        <v>0</v>
      </c>
      <c r="N64" s="49">
        <f t="shared" si="29"/>
        <v>0</v>
      </c>
      <c r="O64" s="130">
        <f>Markaz!O64+Avenue!O64</f>
        <v>0</v>
      </c>
      <c r="P64" s="49">
        <f t="shared" si="30"/>
        <v>0</v>
      </c>
      <c r="Q64" s="130">
        <f>Markaz!Q64+Avenue!Q64</f>
        <v>0</v>
      </c>
      <c r="R64" s="49">
        <f t="shared" si="31"/>
        <v>0</v>
      </c>
      <c r="S64" s="130">
        <f>Markaz!S64+Avenue!S64</f>
        <v>0</v>
      </c>
      <c r="T64" s="49">
        <f t="shared" si="32"/>
        <v>0</v>
      </c>
      <c r="U64" s="130">
        <f>Markaz!U64+Avenue!U64</f>
        <v>0</v>
      </c>
      <c r="V64" s="49">
        <f t="shared" si="33"/>
        <v>0</v>
      </c>
      <c r="W64" s="130">
        <f>Markaz!W64+Avenue!W64</f>
        <v>0</v>
      </c>
      <c r="X64" s="49">
        <f t="shared" si="34"/>
        <v>0</v>
      </c>
      <c r="Y64" s="130">
        <f>Markaz!Y64+Avenue!Y64</f>
        <v>0</v>
      </c>
      <c r="Z64" s="168">
        <f t="shared" si="35"/>
        <v>0</v>
      </c>
      <c r="AA64" s="275">
        <f t="shared" si="36"/>
        <v>0</v>
      </c>
      <c r="AB64" s="203">
        <f t="shared" si="37"/>
        <v>0</v>
      </c>
      <c r="AC64" s="194">
        <f t="shared" si="38"/>
        <v>0</v>
      </c>
      <c r="AD64" s="203">
        <f t="shared" si="39"/>
        <v>0</v>
      </c>
      <c r="AE64" s="75"/>
      <c r="AF64" s="158"/>
      <c r="AG64" s="75"/>
      <c r="AH64" s="194">
        <v>0</v>
      </c>
      <c r="AI64" s="244">
        <f>AH64/AH12</f>
        <v>0</v>
      </c>
      <c r="AJ64" s="282">
        <f t="shared" si="21"/>
        <v>0</v>
      </c>
      <c r="AK64" s="53">
        <f t="shared" si="22"/>
        <v>0</v>
      </c>
      <c r="AL64" s="53">
        <f t="shared" si="17"/>
        <v>0</v>
      </c>
      <c r="AM64" s="53">
        <f t="shared" si="40"/>
        <v>0</v>
      </c>
      <c r="AN64" s="53" t="e">
        <f>#REF!-AM64</f>
        <v>#REF!</v>
      </c>
      <c r="AO64" s="53"/>
    </row>
    <row r="65" spans="1:44">
      <c r="A65" s="98">
        <v>6124</v>
      </c>
      <c r="B65" s="107" t="s">
        <v>23</v>
      </c>
      <c r="C65" s="18">
        <f>Markaz!C65+Avenue!C65</f>
        <v>1475</v>
      </c>
      <c r="D65" s="49">
        <f t="shared" si="24"/>
        <v>5.641578687362603E-3</v>
      </c>
      <c r="E65" s="18">
        <f>Markaz!E65+Avenue!E65</f>
        <v>225</v>
      </c>
      <c r="F65" s="49">
        <f t="shared" si="25"/>
        <v>1.1061415049176439E-3</v>
      </c>
      <c r="G65" s="18">
        <f>Markaz!G65+Avenue!G65</f>
        <v>225</v>
      </c>
      <c r="H65" s="49">
        <f t="shared" si="26"/>
        <v>6.6684133970800429E-4</v>
      </c>
      <c r="I65" s="18">
        <f>Markaz!I65+Avenue!I65</f>
        <v>10376</v>
      </c>
      <c r="J65" s="49">
        <f t="shared" si="27"/>
        <v>3.4826680344630573E-2</v>
      </c>
      <c r="K65" s="18">
        <f>Markaz!K65+Avenue!K65</f>
        <v>225</v>
      </c>
      <c r="L65" s="49">
        <f t="shared" si="28"/>
        <v>8.2571951064999867E-4</v>
      </c>
      <c r="M65" s="18">
        <f>Markaz!M65+Avenue!M65</f>
        <v>225</v>
      </c>
      <c r="N65" s="49">
        <f t="shared" si="29"/>
        <v>5.8231846264918455E-4</v>
      </c>
      <c r="O65" s="18">
        <f>Markaz!O65+Avenue!O65</f>
        <v>225</v>
      </c>
      <c r="P65" s="49">
        <f t="shared" si="30"/>
        <v>9.197737808312274E-4</v>
      </c>
      <c r="Q65" s="18">
        <f>Markaz!Q65+Avenue!Q65</f>
        <v>225</v>
      </c>
      <c r="R65" s="49">
        <f t="shared" si="31"/>
        <v>7.4071423378913839E-4</v>
      </c>
      <c r="S65" s="18">
        <f>Markaz!S65+Avenue!S65</f>
        <v>225</v>
      </c>
      <c r="T65" s="49">
        <f t="shared" si="32"/>
        <v>7.3528833836065434E-4</v>
      </c>
      <c r="U65" s="18">
        <f>Markaz!U65+Avenue!U65</f>
        <v>225</v>
      </c>
      <c r="V65" s="49">
        <f t="shared" si="33"/>
        <v>9.2698220606067809E-4</v>
      </c>
      <c r="W65" s="18">
        <f>Markaz!W65+Avenue!W65</f>
        <v>225</v>
      </c>
      <c r="X65" s="49">
        <f t="shared" si="34"/>
        <v>9.1109137905967693E-4</v>
      </c>
      <c r="Y65" s="18">
        <f>Markaz!Y65+Avenue!Y65</f>
        <v>225</v>
      </c>
      <c r="Z65" s="168">
        <f t="shared" si="35"/>
        <v>6.0310677378783183E-4</v>
      </c>
      <c r="AA65" s="275">
        <f t="shared" si="36"/>
        <v>14101</v>
      </c>
      <c r="AB65" s="203">
        <f t="shared" si="37"/>
        <v>4.0564196566381019E-3</v>
      </c>
      <c r="AC65" s="194">
        <f t="shared" si="38"/>
        <v>1175.0833333333333</v>
      </c>
      <c r="AD65" s="203">
        <f t="shared" si="39"/>
        <v>4.0564196566381019E-3</v>
      </c>
      <c r="AE65" s="75"/>
      <c r="AF65" s="158"/>
      <c r="AG65" s="75"/>
      <c r="AH65" s="194">
        <v>1200</v>
      </c>
      <c r="AI65" s="244">
        <f>AH65/AH12</f>
        <v>1.4902571643647471E-3</v>
      </c>
      <c r="AJ65" s="282">
        <f t="shared" si="21"/>
        <v>16476.083333333336</v>
      </c>
      <c r="AK65" s="53">
        <f t="shared" si="22"/>
        <v>0</v>
      </c>
      <c r="AL65" s="53">
        <f t="shared" si="17"/>
        <v>14101</v>
      </c>
      <c r="AM65" s="53">
        <f t="shared" si="40"/>
        <v>116569.40000000001</v>
      </c>
      <c r="AN65" s="53" t="e">
        <f>#REF!-AM65</f>
        <v>#REF!</v>
      </c>
      <c r="AO65" s="53">
        <v>36.6</v>
      </c>
    </row>
    <row r="66" spans="1:44">
      <c r="A66" s="98">
        <v>6125</v>
      </c>
      <c r="B66" s="107" t="s">
        <v>78</v>
      </c>
      <c r="C66" s="18">
        <f>Markaz!C66+Avenue!C66</f>
        <v>88.84</v>
      </c>
      <c r="D66" s="49">
        <f t="shared" si="24"/>
        <v>3.3979515293918215E-4</v>
      </c>
      <c r="E66" s="18">
        <f>Markaz!E66+Avenue!E66</f>
        <v>88.84</v>
      </c>
      <c r="F66" s="49">
        <f t="shared" si="25"/>
        <v>4.3675382798614889E-4</v>
      </c>
      <c r="G66" s="18">
        <f>Markaz!G66+Avenue!G66</f>
        <v>88.84</v>
      </c>
      <c r="H66" s="49">
        <f t="shared" si="26"/>
        <v>2.6329859830959601E-4</v>
      </c>
      <c r="I66" s="18">
        <f>Markaz!I66+Avenue!I66</f>
        <v>88.84</v>
      </c>
      <c r="J66" s="49">
        <f t="shared" si="27"/>
        <v>2.9818834635861416E-4</v>
      </c>
      <c r="K66" s="18">
        <f>Markaz!K66+Avenue!K66</f>
        <v>88.84</v>
      </c>
      <c r="L66" s="49">
        <f t="shared" si="28"/>
        <v>3.2603076144953726E-4</v>
      </c>
      <c r="M66" s="18">
        <f>Markaz!M66+Avenue!M66</f>
        <v>88.84</v>
      </c>
      <c r="N66" s="49">
        <f t="shared" si="29"/>
        <v>2.2992520987446025E-4</v>
      </c>
      <c r="O66" s="18">
        <f>Markaz!O66+Avenue!O66</f>
        <v>88.84</v>
      </c>
      <c r="P66" s="49">
        <f t="shared" si="30"/>
        <v>3.6316756750687219E-4</v>
      </c>
      <c r="Q66" s="18">
        <f>Markaz!Q66+Avenue!Q66</f>
        <v>88.84</v>
      </c>
      <c r="R66" s="49">
        <f t="shared" si="31"/>
        <v>2.9246690013256469E-4</v>
      </c>
      <c r="S66" s="18">
        <f>Markaz!S66+Avenue!S66</f>
        <v>88.84</v>
      </c>
      <c r="T66" s="49">
        <f t="shared" si="32"/>
        <v>2.9032451546649122E-4</v>
      </c>
      <c r="U66" s="18">
        <f>Markaz!U66+Avenue!U66</f>
        <v>88.84</v>
      </c>
      <c r="V66" s="49">
        <f t="shared" si="33"/>
        <v>3.6601377416191398E-4</v>
      </c>
      <c r="W66" s="18">
        <f>Markaz!W66+Avenue!W66</f>
        <v>88.84</v>
      </c>
      <c r="X66" s="49">
        <f t="shared" si="34"/>
        <v>3.5973936940294089E-4</v>
      </c>
      <c r="Y66" s="18">
        <f>Markaz!Y66+Avenue!Y66</f>
        <v>88.84</v>
      </c>
      <c r="Z66" s="168">
        <f t="shared" si="35"/>
        <v>2.381333590369377E-4</v>
      </c>
      <c r="AA66" s="275">
        <f t="shared" si="36"/>
        <v>1066.0800000000002</v>
      </c>
      <c r="AB66" s="203">
        <f t="shared" si="37"/>
        <v>3.0667809854256783E-4</v>
      </c>
      <c r="AC66" s="194">
        <f t="shared" si="38"/>
        <v>88.840000000000018</v>
      </c>
      <c r="AD66" s="203">
        <f t="shared" si="39"/>
        <v>3.0667809854256783E-4</v>
      </c>
      <c r="AE66" s="75"/>
      <c r="AF66" s="158"/>
      <c r="AG66" s="75"/>
      <c r="AH66" s="194">
        <v>1375</v>
      </c>
      <c r="AI66" s="244">
        <f>AH66/AH12</f>
        <v>1.7075863341679393E-3</v>
      </c>
      <c r="AJ66" s="282">
        <f t="shared" si="21"/>
        <v>2529.92</v>
      </c>
      <c r="AK66" s="53">
        <f t="shared" si="22"/>
        <v>0</v>
      </c>
      <c r="AL66" s="53">
        <f t="shared" si="17"/>
        <v>1066.0800000000002</v>
      </c>
      <c r="AM66" s="53">
        <f t="shared" si="40"/>
        <v>8350.9600000000028</v>
      </c>
      <c r="AN66" s="53" t="e">
        <f>#REF!-AM66</f>
        <v>#REF!</v>
      </c>
      <c r="AO66" s="53">
        <v>72.849999999999994</v>
      </c>
    </row>
    <row r="67" spans="1:44">
      <c r="A67" s="2">
        <v>6126</v>
      </c>
      <c r="B67" s="107" t="s">
        <v>104</v>
      </c>
      <c r="C67" s="130">
        <f>Markaz!C67+Avenue!C67</f>
        <v>0</v>
      </c>
      <c r="D67" s="49">
        <f t="shared" si="24"/>
        <v>0</v>
      </c>
      <c r="E67" s="130">
        <f>Markaz!E67+Avenue!E67</f>
        <v>0</v>
      </c>
      <c r="F67" s="49">
        <f t="shared" si="25"/>
        <v>0</v>
      </c>
      <c r="G67" s="130">
        <f>Markaz!G67+Avenue!G67</f>
        <v>0</v>
      </c>
      <c r="H67" s="49">
        <f t="shared" si="26"/>
        <v>0</v>
      </c>
      <c r="I67" s="130">
        <f>Markaz!I67+Avenue!I67</f>
        <v>0</v>
      </c>
      <c r="J67" s="49">
        <f t="shared" si="27"/>
        <v>0</v>
      </c>
      <c r="K67" s="130">
        <f>Markaz!K67+Avenue!K67</f>
        <v>0</v>
      </c>
      <c r="L67" s="49">
        <f t="shared" si="28"/>
        <v>0</v>
      </c>
      <c r="M67" s="130">
        <f>Markaz!M67+Avenue!M67</f>
        <v>0</v>
      </c>
      <c r="N67" s="49">
        <f t="shared" si="29"/>
        <v>0</v>
      </c>
      <c r="O67" s="130">
        <f>Markaz!O67+Avenue!O67</f>
        <v>0</v>
      </c>
      <c r="P67" s="49">
        <f t="shared" si="30"/>
        <v>0</v>
      </c>
      <c r="Q67" s="130">
        <f>Markaz!Q67+Avenue!Q67</f>
        <v>0</v>
      </c>
      <c r="R67" s="49">
        <f t="shared" si="31"/>
        <v>0</v>
      </c>
      <c r="S67" s="130">
        <f>Markaz!S67+Avenue!S67</f>
        <v>0</v>
      </c>
      <c r="T67" s="49">
        <f t="shared" si="32"/>
        <v>0</v>
      </c>
      <c r="U67" s="130">
        <f>Markaz!U67+Avenue!U67</f>
        <v>0</v>
      </c>
      <c r="V67" s="49">
        <f t="shared" si="33"/>
        <v>0</v>
      </c>
      <c r="W67" s="130">
        <f>Markaz!W67+Avenue!W67</f>
        <v>0</v>
      </c>
      <c r="X67" s="49">
        <f t="shared" si="34"/>
        <v>0</v>
      </c>
      <c r="Y67" s="130">
        <f>Markaz!Y67+Avenue!Y67</f>
        <v>0</v>
      </c>
      <c r="Z67" s="168">
        <f t="shared" si="35"/>
        <v>0</v>
      </c>
      <c r="AA67" s="275">
        <f t="shared" si="36"/>
        <v>0</v>
      </c>
      <c r="AB67" s="203">
        <f t="shared" si="37"/>
        <v>0</v>
      </c>
      <c r="AC67" s="194">
        <f t="shared" si="38"/>
        <v>0</v>
      </c>
      <c r="AD67" s="203">
        <f t="shared" si="39"/>
        <v>0</v>
      </c>
      <c r="AE67" s="75"/>
      <c r="AF67" s="158"/>
      <c r="AG67" s="75"/>
      <c r="AH67" s="194">
        <v>0</v>
      </c>
      <c r="AI67" s="244">
        <f>AH67/AH12</f>
        <v>0</v>
      </c>
      <c r="AJ67" s="282">
        <f t="shared" si="21"/>
        <v>0</v>
      </c>
      <c r="AK67" s="53">
        <f t="shared" si="22"/>
        <v>0</v>
      </c>
      <c r="AL67" s="53">
        <f t="shared" si="17"/>
        <v>0</v>
      </c>
      <c r="AM67" s="53">
        <f t="shared" si="40"/>
        <v>0</v>
      </c>
      <c r="AN67" s="53" t="e">
        <f>#REF!-AM67</f>
        <v>#REF!</v>
      </c>
      <c r="AO67" s="53"/>
    </row>
    <row r="68" spans="1:44">
      <c r="A68" s="98">
        <v>6127</v>
      </c>
      <c r="B68" s="107" t="s">
        <v>76</v>
      </c>
      <c r="C68" s="18">
        <f>Markaz!C68+Avenue!C68</f>
        <v>446</v>
      </c>
      <c r="D68" s="49">
        <f t="shared" si="24"/>
        <v>1.7058604030940482E-3</v>
      </c>
      <c r="E68" s="18">
        <f>Markaz!E68+Avenue!E68</f>
        <v>446</v>
      </c>
      <c r="F68" s="49">
        <f t="shared" si="25"/>
        <v>2.1926182719700853E-3</v>
      </c>
      <c r="G68" s="18">
        <f>Markaz!G68+Avenue!G68</f>
        <v>446</v>
      </c>
      <c r="H68" s="49">
        <f t="shared" si="26"/>
        <v>1.321827722265644E-3</v>
      </c>
      <c r="I68" s="18">
        <f>Markaz!I68+Avenue!I68</f>
        <v>446</v>
      </c>
      <c r="J68" s="49">
        <f t="shared" si="27"/>
        <v>1.4969833687071355E-3</v>
      </c>
      <c r="K68" s="18">
        <f>Markaz!K68+Avenue!K68</f>
        <v>446</v>
      </c>
      <c r="L68" s="49">
        <f t="shared" si="28"/>
        <v>1.6367595633328862E-3</v>
      </c>
      <c r="M68" s="18">
        <f>Markaz!M68+Avenue!M68</f>
        <v>446</v>
      </c>
      <c r="N68" s="49">
        <f t="shared" si="29"/>
        <v>1.1542845970734948E-3</v>
      </c>
      <c r="O68" s="18">
        <f>Markaz!O68+Avenue!O68</f>
        <v>446</v>
      </c>
      <c r="P68" s="49">
        <f t="shared" si="30"/>
        <v>1.8231960277810108E-3</v>
      </c>
      <c r="Q68" s="18">
        <f>Markaz!Q68+Avenue!Q68</f>
        <v>446</v>
      </c>
      <c r="R68" s="49">
        <f t="shared" si="31"/>
        <v>1.4682602145331366E-3</v>
      </c>
      <c r="S68" s="18">
        <f>Markaz!S68+Avenue!S68</f>
        <v>446</v>
      </c>
      <c r="T68" s="49">
        <f t="shared" si="32"/>
        <v>1.4575048840393414E-3</v>
      </c>
      <c r="U68" s="18">
        <f>Markaz!U68+Avenue!U68</f>
        <v>446</v>
      </c>
      <c r="V68" s="49">
        <f t="shared" si="33"/>
        <v>1.8374847284580551E-3</v>
      </c>
      <c r="W68" s="18">
        <f>Markaz!W68+Avenue!W68</f>
        <v>446</v>
      </c>
      <c r="X68" s="49">
        <f t="shared" si="34"/>
        <v>1.8059855780471817E-3</v>
      </c>
      <c r="Y68" s="18">
        <f>Markaz!Y68+Avenue!Y68</f>
        <v>446</v>
      </c>
      <c r="Z68" s="168">
        <f t="shared" si="35"/>
        <v>1.1954916493749912E-3</v>
      </c>
      <c r="AA68" s="275">
        <f t="shared" si="36"/>
        <v>5352</v>
      </c>
      <c r="AB68" s="203">
        <f t="shared" si="37"/>
        <v>1.5396041417152771E-3</v>
      </c>
      <c r="AC68" s="194">
        <f t="shared" si="38"/>
        <v>446</v>
      </c>
      <c r="AD68" s="203">
        <f t="shared" si="39"/>
        <v>1.5396041417152773E-3</v>
      </c>
      <c r="AE68" s="75"/>
      <c r="AF68" s="158"/>
      <c r="AG68" s="75"/>
      <c r="AH68" s="194">
        <v>6000</v>
      </c>
      <c r="AI68" s="244">
        <f>AH68/AH12</f>
        <v>7.4512858218237351E-3</v>
      </c>
      <c r="AJ68" s="282">
        <f t="shared" si="21"/>
        <v>11798</v>
      </c>
      <c r="AK68" s="53">
        <f t="shared" si="22"/>
        <v>0</v>
      </c>
      <c r="AL68" s="53">
        <f t="shared" si="17"/>
        <v>5352</v>
      </c>
      <c r="AM68" s="53">
        <f t="shared" si="40"/>
        <v>41924.000000000007</v>
      </c>
      <c r="AN68" s="53" t="e">
        <f>#REF!-AM68</f>
        <v>#REF!</v>
      </c>
      <c r="AO68" s="53"/>
      <c r="AP68" s="63"/>
      <c r="AQ68" s="63"/>
    </row>
    <row r="69" spans="1:44">
      <c r="A69" s="2">
        <v>6128</v>
      </c>
      <c r="B69" s="107" t="s">
        <v>182</v>
      </c>
      <c r="C69" s="198">
        <f>Markaz!C69+Avenue!C69</f>
        <v>0</v>
      </c>
      <c r="D69" s="49">
        <f t="shared" si="24"/>
        <v>0</v>
      </c>
      <c r="E69" s="198">
        <f>Markaz!E69+Avenue!E69</f>
        <v>0</v>
      </c>
      <c r="F69" s="49">
        <f t="shared" si="25"/>
        <v>0</v>
      </c>
      <c r="G69" s="198">
        <f>Markaz!G69+Avenue!G69</f>
        <v>0</v>
      </c>
      <c r="H69" s="49">
        <f t="shared" si="26"/>
        <v>0</v>
      </c>
      <c r="I69" s="198">
        <f>Markaz!I69+Avenue!I69</f>
        <v>0</v>
      </c>
      <c r="J69" s="49">
        <f t="shared" si="27"/>
        <v>0</v>
      </c>
      <c r="K69" s="198">
        <f>Markaz!K69+Avenue!K69</f>
        <v>0</v>
      </c>
      <c r="L69" s="49">
        <f t="shared" si="28"/>
        <v>0</v>
      </c>
      <c r="M69" s="198">
        <f>Markaz!M69+Avenue!M69</f>
        <v>0</v>
      </c>
      <c r="N69" s="49">
        <f t="shared" si="29"/>
        <v>0</v>
      </c>
      <c r="O69" s="198">
        <f>Markaz!O69+Avenue!O69</f>
        <v>0</v>
      </c>
      <c r="P69" s="49">
        <f t="shared" si="30"/>
        <v>0</v>
      </c>
      <c r="Q69" s="198">
        <f>Markaz!Q69+Avenue!Q69</f>
        <v>0</v>
      </c>
      <c r="R69" s="49">
        <f t="shared" si="31"/>
        <v>0</v>
      </c>
      <c r="S69" s="198">
        <f>Markaz!S69+Avenue!S69</f>
        <v>0</v>
      </c>
      <c r="T69" s="49">
        <f t="shared" si="32"/>
        <v>0</v>
      </c>
      <c r="U69" s="198">
        <f>Markaz!U69+Avenue!U69</f>
        <v>0</v>
      </c>
      <c r="V69" s="49">
        <f t="shared" si="33"/>
        <v>0</v>
      </c>
      <c r="W69" s="198">
        <f>Markaz!W69+Avenue!W69</f>
        <v>0</v>
      </c>
      <c r="X69" s="49">
        <f t="shared" si="34"/>
        <v>0</v>
      </c>
      <c r="Y69" s="198">
        <f>Markaz!Y69+Avenue!Y69</f>
        <v>0</v>
      </c>
      <c r="Z69" s="49">
        <f t="shared" si="35"/>
        <v>0</v>
      </c>
      <c r="AA69" s="275">
        <f t="shared" si="36"/>
        <v>0</v>
      </c>
      <c r="AB69" s="49">
        <f t="shared" si="37"/>
        <v>0</v>
      </c>
      <c r="AC69" s="194">
        <f t="shared" si="38"/>
        <v>0</v>
      </c>
      <c r="AD69" s="49">
        <f t="shared" si="39"/>
        <v>0</v>
      </c>
      <c r="AE69" s="75"/>
      <c r="AF69" s="158"/>
      <c r="AG69" s="75"/>
      <c r="AH69" s="194">
        <v>0</v>
      </c>
      <c r="AI69" s="244"/>
      <c r="AJ69" s="282">
        <f t="shared" ref="AJ69:AJ115" si="41">SUM(AA69+AC69+AH69)</f>
        <v>0</v>
      </c>
      <c r="AK69" s="53">
        <f t="shared" ref="AK69:AK115" si="42">AA69-AL69</f>
        <v>0</v>
      </c>
      <c r="AL69" s="53">
        <f t="shared" si="17"/>
        <v>0</v>
      </c>
      <c r="AM69" s="53">
        <f t="shared" si="40"/>
        <v>0</v>
      </c>
      <c r="AN69" s="53" t="e">
        <f>#REF!-AM69</f>
        <v>#REF!</v>
      </c>
      <c r="AO69" s="53"/>
      <c r="AR69" s="141"/>
    </row>
    <row r="70" spans="1:44" s="305" customFormat="1">
      <c r="A70" s="2">
        <v>6131</v>
      </c>
      <c r="B70" s="107" t="s">
        <v>250</v>
      </c>
      <c r="C70" s="527">
        <f>Markaz!C70+Avenue!C70</f>
        <v>142.13999999999999</v>
      </c>
      <c r="D70" s="521">
        <f t="shared" si="24"/>
        <v>5.4365694550625109E-4</v>
      </c>
      <c r="E70" s="527">
        <f>Markaz!E70+Avenue!E70</f>
        <v>142.13999999999999</v>
      </c>
      <c r="F70" s="521">
        <f t="shared" si="25"/>
        <v>6.9878646003997287E-4</v>
      </c>
      <c r="G70" s="527">
        <f>Markaz!G70+Avenue!G70</f>
        <v>142.13999999999999</v>
      </c>
      <c r="H70" s="521">
        <f t="shared" si="26"/>
        <v>4.2126590233820317E-4</v>
      </c>
      <c r="I70" s="527">
        <f>Markaz!I70+Avenue!I70</f>
        <v>142.13999999999999</v>
      </c>
      <c r="J70" s="521">
        <f t="shared" si="27"/>
        <v>4.7708792831397355E-4</v>
      </c>
      <c r="K70" s="527">
        <f>Markaz!K70+Avenue!K70</f>
        <v>142.13999999999999</v>
      </c>
      <c r="L70" s="521">
        <f t="shared" si="28"/>
        <v>5.2163453886129249E-4</v>
      </c>
      <c r="M70" s="527">
        <f>Markaz!M70+Avenue!M70</f>
        <v>142.13999999999999</v>
      </c>
      <c r="N70" s="521">
        <f t="shared" si="29"/>
        <v>3.6786998347091148E-4</v>
      </c>
      <c r="O70" s="527">
        <f>Markaz!O70+Avenue!O70</f>
        <v>142.13999999999999</v>
      </c>
      <c r="P70" s="521">
        <f t="shared" si="30"/>
        <v>5.8105175647711399E-4</v>
      </c>
      <c r="Q70" s="527">
        <f>Markaz!Q70+Avenue!Q70</f>
        <v>142.13999999999999</v>
      </c>
      <c r="R70" s="521">
        <f t="shared" si="31"/>
        <v>4.6793387195905831E-4</v>
      </c>
      <c r="S70" s="527">
        <f>Markaz!S70+Avenue!S70</f>
        <v>142.13999999999999</v>
      </c>
      <c r="T70" s="521">
        <f t="shared" si="32"/>
        <v>4.6450615295370396E-4</v>
      </c>
      <c r="U70" s="527">
        <f>Markaz!U70+Avenue!U70</f>
        <v>142.13999999999999</v>
      </c>
      <c r="V70" s="521">
        <f t="shared" si="33"/>
        <v>5.8560555897539896E-4</v>
      </c>
      <c r="W70" s="527">
        <f>Markaz!W70+Avenue!W70</f>
        <v>142.13999999999999</v>
      </c>
      <c r="X70" s="521">
        <f t="shared" si="34"/>
        <v>5.7556679386463322E-4</v>
      </c>
      <c r="Y70" s="527">
        <f>Markaz!Y70+Avenue!Y70</f>
        <v>142.13999999999999</v>
      </c>
      <c r="Z70" s="521">
        <f t="shared" si="35"/>
        <v>3.810026525608996E-4</v>
      </c>
      <c r="AA70" s="510">
        <f t="shared" si="36"/>
        <v>1705.6799999999994</v>
      </c>
      <c r="AB70" s="521">
        <f t="shared" si="37"/>
        <v>4.906711495592139E-4</v>
      </c>
      <c r="AC70" s="194">
        <f t="shared" si="38"/>
        <v>142.13999999999996</v>
      </c>
      <c r="AD70" s="521">
        <f t="shared" si="39"/>
        <v>4.90671149559214E-4</v>
      </c>
      <c r="AE70" s="75"/>
      <c r="AF70" s="158"/>
      <c r="AG70" s="75"/>
      <c r="AH70" s="528"/>
      <c r="AI70" s="244"/>
      <c r="AJ70" s="282"/>
      <c r="AK70" s="53"/>
      <c r="AL70" s="53"/>
      <c r="AM70" s="53"/>
      <c r="AN70" s="53"/>
      <c r="AO70" s="53"/>
      <c r="AR70" s="141"/>
    </row>
    <row r="71" spans="1:44" s="305" customFormat="1">
      <c r="A71" s="2">
        <v>6132</v>
      </c>
      <c r="B71" s="107" t="s">
        <v>251</v>
      </c>
      <c r="C71" s="527">
        <f>Markaz!C71+Avenue!C71</f>
        <v>9.7725657427149955</v>
      </c>
      <c r="D71" s="521">
        <f t="shared" si="24"/>
        <v>3.7378100755898857E-5</v>
      </c>
      <c r="E71" s="527">
        <f>Markaz!E71+Avenue!E71</f>
        <v>9.7725657427149955</v>
      </c>
      <c r="F71" s="521">
        <f t="shared" si="25"/>
        <v>4.8043735900237239E-5</v>
      </c>
      <c r="G71" s="527">
        <f>Markaz!G71+Avenue!G71</f>
        <v>9.7725657427149955</v>
      </c>
      <c r="H71" s="521">
        <f t="shared" si="26"/>
        <v>2.8963337032251622E-5</v>
      </c>
      <c r="I71" s="527">
        <f>Markaz!I71+Avenue!I71</f>
        <v>9.7725657427149955</v>
      </c>
      <c r="J71" s="521">
        <f t="shared" si="27"/>
        <v>3.2801274409061527E-5</v>
      </c>
      <c r="K71" s="527">
        <f>Markaz!K71+Avenue!K71</f>
        <v>9.7725657427149955</v>
      </c>
      <c r="L71" s="521">
        <f t="shared" si="28"/>
        <v>3.5863992012753632E-5</v>
      </c>
      <c r="M71" s="527">
        <f>Markaz!M71+Avenue!M71</f>
        <v>9.7725657427149955</v>
      </c>
      <c r="N71" s="521">
        <f t="shared" si="29"/>
        <v>2.5292202041937255E-5</v>
      </c>
      <c r="O71" s="527">
        <f>Markaz!O71+Avenue!O71</f>
        <v>9.7725657427149955</v>
      </c>
      <c r="P71" s="521">
        <f t="shared" si="30"/>
        <v>3.9949109962660905E-5</v>
      </c>
      <c r="Q71" s="527">
        <f>Markaz!Q71+Avenue!Q71</f>
        <v>9.7725657427149955</v>
      </c>
      <c r="R71" s="521">
        <f t="shared" si="31"/>
        <v>3.2171904650084973E-5</v>
      </c>
      <c r="S71" s="527">
        <f>Markaz!S71+Avenue!S71</f>
        <v>9.7725657427149955</v>
      </c>
      <c r="T71" s="521">
        <f t="shared" si="32"/>
        <v>3.1936238339916278E-5</v>
      </c>
      <c r="U71" s="527">
        <f>Markaz!U71+Avenue!U71</f>
        <v>9.7725657427149955</v>
      </c>
      <c r="V71" s="521">
        <f t="shared" si="33"/>
        <v>4.026219800468869E-5</v>
      </c>
      <c r="W71" s="527">
        <f>Markaz!W71+Avenue!W71</f>
        <v>9.7725657427149955</v>
      </c>
      <c r="X71" s="521">
        <f t="shared" si="34"/>
        <v>3.9572001775473608E-5</v>
      </c>
      <c r="Y71" s="527">
        <f>Markaz!Y71+Avenue!Y71</f>
        <v>9.7725657427149955</v>
      </c>
      <c r="Z71" s="521">
        <f t="shared" si="35"/>
        <v>2.6195113763192567E-5</v>
      </c>
      <c r="AA71" s="510">
        <f t="shared" si="36"/>
        <v>117.27078891257992</v>
      </c>
      <c r="AB71" s="521">
        <f t="shared" si="37"/>
        <v>3.3735162988046719E-5</v>
      </c>
      <c r="AC71" s="194">
        <f t="shared" si="38"/>
        <v>9.7725657427149937</v>
      </c>
      <c r="AD71" s="521">
        <f t="shared" si="39"/>
        <v>3.3735162988046726E-5</v>
      </c>
      <c r="AE71" s="75"/>
      <c r="AF71" s="158"/>
      <c r="AG71" s="75"/>
      <c r="AH71" s="528"/>
      <c r="AI71" s="244"/>
      <c r="AJ71" s="282"/>
      <c r="AK71" s="53"/>
      <c r="AL71" s="53"/>
      <c r="AM71" s="53"/>
      <c r="AN71" s="53"/>
      <c r="AO71" s="53"/>
      <c r="AR71" s="141"/>
    </row>
    <row r="72" spans="1:44" s="305" customFormat="1">
      <c r="A72" s="2">
        <v>6133</v>
      </c>
      <c r="B72" s="107" t="s">
        <v>252</v>
      </c>
      <c r="C72" s="527">
        <f>Markaz!C72+Avenue!C72</f>
        <v>20</v>
      </c>
      <c r="D72" s="521">
        <f t="shared" si="24"/>
        <v>7.6495982201526822E-5</v>
      </c>
      <c r="E72" s="527">
        <f>Markaz!E72+Avenue!E72</f>
        <v>20</v>
      </c>
      <c r="F72" s="521">
        <f t="shared" si="25"/>
        <v>9.8323689326012802E-5</v>
      </c>
      <c r="G72" s="527">
        <f>Markaz!G72+Avenue!G72</f>
        <v>20</v>
      </c>
      <c r="H72" s="521">
        <f t="shared" si="26"/>
        <v>5.9274785751822598E-5</v>
      </c>
      <c r="I72" s="527">
        <f>Markaz!I72+Avenue!I72</f>
        <v>20</v>
      </c>
      <c r="J72" s="521">
        <f t="shared" si="27"/>
        <v>6.7129299045163023E-5</v>
      </c>
      <c r="K72" s="527">
        <f>Markaz!K72+Avenue!K72</f>
        <v>20</v>
      </c>
      <c r="L72" s="521">
        <f t="shared" si="28"/>
        <v>7.3397289835555433E-5</v>
      </c>
      <c r="M72" s="527">
        <f>Markaz!M72+Avenue!M72</f>
        <v>20</v>
      </c>
      <c r="N72" s="521">
        <f t="shared" si="29"/>
        <v>5.1761641124371963E-5</v>
      </c>
      <c r="O72" s="527">
        <f>Markaz!O72+Avenue!O72</f>
        <v>20</v>
      </c>
      <c r="P72" s="521">
        <f t="shared" si="30"/>
        <v>8.1757669407220217E-5</v>
      </c>
      <c r="Q72" s="527">
        <f>Markaz!Q72+Avenue!Q72</f>
        <v>20</v>
      </c>
      <c r="R72" s="521">
        <f t="shared" si="31"/>
        <v>6.5841265225701192E-5</v>
      </c>
      <c r="S72" s="527">
        <f>Markaz!S72+Avenue!S72</f>
        <v>20</v>
      </c>
      <c r="T72" s="521">
        <f t="shared" si="32"/>
        <v>6.5358963409835937E-5</v>
      </c>
      <c r="U72" s="527">
        <f>Markaz!U72+Avenue!U72</f>
        <v>20</v>
      </c>
      <c r="V72" s="521">
        <f t="shared" si="33"/>
        <v>8.2398418316504719E-5</v>
      </c>
      <c r="W72" s="527">
        <f>Markaz!W72+Avenue!W72</f>
        <v>20</v>
      </c>
      <c r="X72" s="521">
        <f t="shared" si="34"/>
        <v>8.0985900360860166E-5</v>
      </c>
      <c r="Y72" s="527">
        <f>Markaz!Y72+Avenue!Y72</f>
        <v>20</v>
      </c>
      <c r="Z72" s="521">
        <f t="shared" si="35"/>
        <v>5.3609491003362834E-5</v>
      </c>
      <c r="AA72" s="510">
        <f t="shared" si="36"/>
        <v>240</v>
      </c>
      <c r="AB72" s="521">
        <f t="shared" si="37"/>
        <v>6.9040544471537087E-5</v>
      </c>
      <c r="AC72" s="194">
        <f t="shared" si="38"/>
        <v>20</v>
      </c>
      <c r="AD72" s="521">
        <f t="shared" si="39"/>
        <v>6.90405444715371E-5</v>
      </c>
      <c r="AE72" s="75"/>
      <c r="AF72" s="158"/>
      <c r="AG72" s="75"/>
      <c r="AH72" s="528"/>
      <c r="AI72" s="244"/>
      <c r="AJ72" s="282"/>
      <c r="AK72" s="53"/>
      <c r="AL72" s="53"/>
      <c r="AM72" s="53"/>
      <c r="AN72" s="53"/>
      <c r="AO72" s="53"/>
      <c r="AR72" s="141"/>
    </row>
    <row r="73" spans="1:44" s="305" customFormat="1">
      <c r="A73" s="2">
        <v>6134</v>
      </c>
      <c r="B73" s="107" t="s">
        <v>253</v>
      </c>
      <c r="C73" s="527">
        <f>Markaz!C73+Avenue!C73</f>
        <v>0</v>
      </c>
      <c r="D73" s="521">
        <f t="shared" si="24"/>
        <v>0</v>
      </c>
      <c r="E73" s="527">
        <f>Markaz!E73+Avenue!E73</f>
        <v>0</v>
      </c>
      <c r="F73" s="521">
        <f t="shared" si="25"/>
        <v>0</v>
      </c>
      <c r="G73" s="527">
        <f>Markaz!G73+Avenue!G73</f>
        <v>0</v>
      </c>
      <c r="H73" s="521">
        <f t="shared" si="26"/>
        <v>0</v>
      </c>
      <c r="I73" s="527">
        <f>Markaz!I73+Avenue!I73</f>
        <v>0</v>
      </c>
      <c r="J73" s="521">
        <f t="shared" si="27"/>
        <v>0</v>
      </c>
      <c r="K73" s="527">
        <f>Markaz!K73+Avenue!K73</f>
        <v>0</v>
      </c>
      <c r="L73" s="521">
        <f t="shared" si="28"/>
        <v>0</v>
      </c>
      <c r="M73" s="527">
        <f>Markaz!M73+Avenue!M73</f>
        <v>0</v>
      </c>
      <c r="N73" s="521">
        <f t="shared" si="29"/>
        <v>0</v>
      </c>
      <c r="O73" s="527">
        <f>Markaz!O73+Avenue!O73</f>
        <v>0</v>
      </c>
      <c r="P73" s="521">
        <f t="shared" si="30"/>
        <v>0</v>
      </c>
      <c r="Q73" s="527">
        <f>Markaz!Q73+Avenue!Q73</f>
        <v>0</v>
      </c>
      <c r="R73" s="521">
        <f t="shared" si="31"/>
        <v>0</v>
      </c>
      <c r="S73" s="527">
        <f>Markaz!S73+Avenue!S73</f>
        <v>0</v>
      </c>
      <c r="T73" s="521">
        <f t="shared" si="32"/>
        <v>0</v>
      </c>
      <c r="U73" s="527">
        <f>Markaz!U73+Avenue!U73</f>
        <v>0</v>
      </c>
      <c r="V73" s="521">
        <f t="shared" si="33"/>
        <v>0</v>
      </c>
      <c r="W73" s="527">
        <f>Markaz!W73+Avenue!W73</f>
        <v>0</v>
      </c>
      <c r="X73" s="521">
        <f t="shared" si="34"/>
        <v>0</v>
      </c>
      <c r="Y73" s="527">
        <f>Markaz!Y73+Avenue!Y73</f>
        <v>0</v>
      </c>
      <c r="Z73" s="521">
        <f t="shared" si="35"/>
        <v>0</v>
      </c>
      <c r="AA73" s="510">
        <f t="shared" si="36"/>
        <v>0</v>
      </c>
      <c r="AB73" s="521">
        <f t="shared" si="37"/>
        <v>0</v>
      </c>
      <c r="AC73" s="194">
        <f t="shared" si="38"/>
        <v>0</v>
      </c>
      <c r="AD73" s="521">
        <f t="shared" si="39"/>
        <v>0</v>
      </c>
      <c r="AE73" s="75"/>
      <c r="AF73" s="158"/>
      <c r="AG73" s="75"/>
      <c r="AH73" s="528"/>
      <c r="AI73" s="244"/>
      <c r="AJ73" s="282"/>
      <c r="AK73" s="53"/>
      <c r="AL73" s="53"/>
      <c r="AM73" s="53"/>
      <c r="AN73" s="53"/>
      <c r="AO73" s="53"/>
      <c r="AR73" s="141"/>
    </row>
    <row r="74" spans="1:44" s="305" customFormat="1">
      <c r="A74" s="2">
        <v>6135</v>
      </c>
      <c r="B74" s="107" t="s">
        <v>254</v>
      </c>
      <c r="C74" s="527">
        <f>Markaz!C74+Avenue!C74</f>
        <v>0</v>
      </c>
      <c r="D74" s="521">
        <f t="shared" si="24"/>
        <v>0</v>
      </c>
      <c r="E74" s="527">
        <f>Markaz!E74+Avenue!E74</f>
        <v>0</v>
      </c>
      <c r="F74" s="521">
        <f t="shared" si="25"/>
        <v>0</v>
      </c>
      <c r="G74" s="527">
        <f>Markaz!G74+Avenue!G74</f>
        <v>0</v>
      </c>
      <c r="H74" s="521">
        <f t="shared" si="26"/>
        <v>0</v>
      </c>
      <c r="I74" s="527">
        <f>Markaz!I74+Avenue!I74</f>
        <v>0</v>
      </c>
      <c r="J74" s="521">
        <f t="shared" si="27"/>
        <v>0</v>
      </c>
      <c r="K74" s="527">
        <f>Markaz!K74+Avenue!K74</f>
        <v>0</v>
      </c>
      <c r="L74" s="521">
        <f t="shared" si="28"/>
        <v>0</v>
      </c>
      <c r="M74" s="527">
        <f>Markaz!M74+Avenue!M74</f>
        <v>0</v>
      </c>
      <c r="N74" s="521">
        <f t="shared" si="29"/>
        <v>0</v>
      </c>
      <c r="O74" s="527">
        <f>Markaz!O74+Avenue!O74</f>
        <v>0</v>
      </c>
      <c r="P74" s="521">
        <f t="shared" si="30"/>
        <v>0</v>
      </c>
      <c r="Q74" s="527">
        <f>Markaz!Q74+Avenue!Q74</f>
        <v>0</v>
      </c>
      <c r="R74" s="521">
        <f t="shared" si="31"/>
        <v>0</v>
      </c>
      <c r="S74" s="527">
        <f>Markaz!S74+Avenue!S74</f>
        <v>0</v>
      </c>
      <c r="T74" s="521">
        <f t="shared" si="32"/>
        <v>0</v>
      </c>
      <c r="U74" s="527">
        <f>Markaz!U74+Avenue!U74</f>
        <v>0</v>
      </c>
      <c r="V74" s="521">
        <f t="shared" si="33"/>
        <v>0</v>
      </c>
      <c r="W74" s="527">
        <f>Markaz!W74+Avenue!W74</f>
        <v>0</v>
      </c>
      <c r="X74" s="521">
        <f t="shared" si="34"/>
        <v>0</v>
      </c>
      <c r="Y74" s="527">
        <f>Markaz!Y74+Avenue!Y74</f>
        <v>0</v>
      </c>
      <c r="Z74" s="521">
        <f t="shared" si="35"/>
        <v>0</v>
      </c>
      <c r="AA74" s="510">
        <f t="shared" si="36"/>
        <v>0</v>
      </c>
      <c r="AB74" s="521">
        <f t="shared" si="37"/>
        <v>0</v>
      </c>
      <c r="AC74" s="194">
        <f t="shared" si="38"/>
        <v>0</v>
      </c>
      <c r="AD74" s="521">
        <f t="shared" si="39"/>
        <v>0</v>
      </c>
      <c r="AE74" s="75"/>
      <c r="AF74" s="158"/>
      <c r="AG74" s="75"/>
      <c r="AH74" s="528"/>
      <c r="AI74" s="244"/>
      <c r="AJ74" s="282"/>
      <c r="AK74" s="53"/>
      <c r="AL74" s="53"/>
      <c r="AM74" s="53"/>
      <c r="AN74" s="53"/>
      <c r="AO74" s="53"/>
      <c r="AR74" s="141"/>
    </row>
    <row r="75" spans="1:44" s="305" customFormat="1">
      <c r="A75" s="2">
        <v>6136</v>
      </c>
      <c r="B75" s="107" t="s">
        <v>265</v>
      </c>
      <c r="C75" s="527">
        <f>Markaz!C75+Avenue!C75</f>
        <v>31.98294243070362</v>
      </c>
      <c r="D75" s="521">
        <f t="shared" si="24"/>
        <v>1.2232832974657805E-4</v>
      </c>
      <c r="E75" s="527">
        <f>Markaz!E75+Avenue!E75</f>
        <v>31.98294243070362</v>
      </c>
      <c r="F75" s="521">
        <f t="shared" si="25"/>
        <v>1.5723404476441276E-4</v>
      </c>
      <c r="G75" s="527">
        <f>Markaz!G75+Avenue!G75</f>
        <v>31.98294243070362</v>
      </c>
      <c r="H75" s="521">
        <f t="shared" si="26"/>
        <v>9.4789103014641674E-5</v>
      </c>
      <c r="I75" s="527">
        <f>Markaz!I75+Avenue!I75</f>
        <v>31.98294243070362</v>
      </c>
      <c r="J75" s="521">
        <f t="shared" si="27"/>
        <v>1.0734962533874681E-4</v>
      </c>
      <c r="K75" s="527">
        <f>Markaz!K75+Avenue!K75</f>
        <v>31.98294243070362</v>
      </c>
      <c r="L75" s="521">
        <f t="shared" si="28"/>
        <v>1.1737306476901188E-4</v>
      </c>
      <c r="M75" s="527">
        <f>Markaz!M75+Avenue!M75</f>
        <v>31.98294243070362</v>
      </c>
      <c r="N75" s="521">
        <f t="shared" si="29"/>
        <v>8.277447940997647E-5</v>
      </c>
      <c r="O75" s="527">
        <f>Markaz!O75+Avenue!O75</f>
        <v>31.98294243070362</v>
      </c>
      <c r="P75" s="521">
        <f t="shared" si="30"/>
        <v>1.3074254169598114E-4</v>
      </c>
      <c r="Q75" s="527">
        <f>Markaz!Q75+Avenue!Q75</f>
        <v>31.98294243070362</v>
      </c>
      <c r="R75" s="521">
        <f t="shared" si="31"/>
        <v>1.0528986976391446E-4</v>
      </c>
      <c r="S75" s="527">
        <f>Markaz!S75+Avenue!S75</f>
        <v>31.98294243070362</v>
      </c>
      <c r="T75" s="521">
        <f t="shared" si="32"/>
        <v>1.0451859820336235E-4</v>
      </c>
      <c r="U75" s="527">
        <f>Markaz!U75+Avenue!U75</f>
        <v>31.98294243070362</v>
      </c>
      <c r="V75" s="521">
        <f t="shared" si="33"/>
        <v>1.3176719346989026E-4</v>
      </c>
      <c r="W75" s="527">
        <f>Markaz!W75+Avenue!W75</f>
        <v>31.98294243070362</v>
      </c>
      <c r="X75" s="521">
        <f t="shared" si="34"/>
        <v>1.295083694470045E-4</v>
      </c>
      <c r="Y75" s="527">
        <f>Markaz!Y75+Avenue!Y75</f>
        <v>31.98294243070362</v>
      </c>
      <c r="Z75" s="521">
        <f t="shared" si="35"/>
        <v>8.5729463224993864E-5</v>
      </c>
      <c r="AA75" s="510">
        <f t="shared" si="36"/>
        <v>383.79530916844351</v>
      </c>
      <c r="AB75" s="521">
        <f t="shared" si="37"/>
        <v>1.1040598796088022E-4</v>
      </c>
      <c r="AC75" s="528">
        <f t="shared" si="38"/>
        <v>31.982942430703627</v>
      </c>
      <c r="AD75" s="521">
        <f t="shared" si="39"/>
        <v>1.1040598796088023E-4</v>
      </c>
      <c r="AE75" s="75"/>
      <c r="AF75" s="158"/>
      <c r="AG75" s="75"/>
      <c r="AH75" s="528"/>
      <c r="AI75" s="244"/>
      <c r="AJ75" s="282"/>
      <c r="AK75" s="53"/>
      <c r="AL75" s="53"/>
      <c r="AM75" s="53"/>
      <c r="AN75" s="53"/>
      <c r="AO75" s="53"/>
      <c r="AR75" s="141"/>
    </row>
    <row r="76" spans="1:44" ht="15.75" thickBot="1">
      <c r="A76" s="4">
        <v>6199</v>
      </c>
      <c r="B76" s="109" t="s">
        <v>24</v>
      </c>
      <c r="C76" s="29">
        <f>Markaz!C76+Avenue!C76</f>
        <v>37254.814308173416</v>
      </c>
      <c r="D76" s="68">
        <f t="shared" si="24"/>
        <v>0.14249218061196103</v>
      </c>
      <c r="E76" s="27">
        <f>Markaz!E76+Avenue!E76</f>
        <v>34833.701191506749</v>
      </c>
      <c r="F76" s="68">
        <f t="shared" si="25"/>
        <v>0.17124890070144358</v>
      </c>
      <c r="G76" s="27">
        <f>Markaz!G76+Avenue!G76</f>
        <v>37537.464722816199</v>
      </c>
      <c r="H76" s="68">
        <f t="shared" si="26"/>
        <v>0.11125125895557646</v>
      </c>
      <c r="I76" s="27">
        <f>Markaz!I76+Avenue!I76</f>
        <v>46891.894866737886</v>
      </c>
      <c r="J76" s="68">
        <f t="shared" si="27"/>
        <v>0.15739100166517961</v>
      </c>
      <c r="K76" s="27">
        <f>Markaz!K76+Avenue!K76</f>
        <v>36627.448278450283</v>
      </c>
      <c r="L76" s="68">
        <f t="shared" si="28"/>
        <v>0.13441777186151158</v>
      </c>
      <c r="M76" s="27">
        <f>Markaz!M76+Avenue!M76</f>
        <v>38925.556124739749</v>
      </c>
      <c r="N76" s="68">
        <f t="shared" si="29"/>
        <v>0.10074253333476889</v>
      </c>
      <c r="O76" s="27">
        <f>Markaz!O76+Avenue!O76</f>
        <v>37222.56531977866</v>
      </c>
      <c r="P76" s="68">
        <f t="shared" si="30"/>
        <v>0.15216150949515619</v>
      </c>
      <c r="Q76" s="27">
        <f>Markaz!Q76+Avenue!Q76</f>
        <v>38415.747672153841</v>
      </c>
      <c r="R76" s="68">
        <f t="shared" si="31"/>
        <v>0.12646707156629469</v>
      </c>
      <c r="S76" s="27">
        <f>Markaz!S76+Avenue!S76</f>
        <v>38460.975330887894</v>
      </c>
      <c r="T76" s="68">
        <f t="shared" si="32"/>
        <v>0.12568847396790522</v>
      </c>
      <c r="U76" s="27">
        <f>Markaz!U76+Avenue!U76</f>
        <v>36884.18319345999</v>
      </c>
      <c r="V76" s="68">
        <f t="shared" si="33"/>
        <v>0.15195991780186546</v>
      </c>
      <c r="W76" s="27">
        <f>Markaz!W76+Avenue!W76</f>
        <v>36969.602141786483</v>
      </c>
      <c r="X76" s="68">
        <f t="shared" si="34"/>
        <v>0.14970082577176813</v>
      </c>
      <c r="Y76" s="27">
        <f>Markaz!Y76+Avenue!Y76</f>
        <v>39514.169317395368</v>
      </c>
      <c r="Z76" s="212">
        <f t="shared" si="35"/>
        <v>0.10591672522631314</v>
      </c>
      <c r="AA76" s="200">
        <f t="shared" si="36"/>
        <v>459538.12246788654</v>
      </c>
      <c r="AB76" s="234">
        <f t="shared" si="37"/>
        <v>0.13219484241921159</v>
      </c>
      <c r="AC76" s="200">
        <f t="shared" si="38"/>
        <v>38294.843538990543</v>
      </c>
      <c r="AD76" s="234">
        <f t="shared" si="39"/>
        <v>0.13219484241921159</v>
      </c>
      <c r="AE76" s="75"/>
      <c r="AF76" s="158"/>
      <c r="AG76" s="75"/>
      <c r="AH76" s="200">
        <f>SUM(AH42:AH69)</f>
        <v>135144.62900000002</v>
      </c>
      <c r="AI76" s="248">
        <f>AH76/AH12</f>
        <v>0.16783354299388817</v>
      </c>
      <c r="AJ76" s="286">
        <f t="shared" si="41"/>
        <v>632977.59500687709</v>
      </c>
      <c r="AK76" s="53">
        <f t="shared" si="42"/>
        <v>0</v>
      </c>
      <c r="AL76" s="53">
        <f t="shared" ref="AL76:AL149" si="43">C76+E76+G76+I76+K76+M76+O76+Q76+S76+U76+W76+Y76</f>
        <v>459538.12246788654</v>
      </c>
      <c r="AM76" s="53">
        <f t="shared" si="40"/>
        <v>3642026.3055011397</v>
      </c>
      <c r="AN76" s="53" t="e">
        <f>#REF!-AM76</f>
        <v>#REF!</v>
      </c>
      <c r="AO76" s="53"/>
    </row>
    <row r="77" spans="1:44" ht="15.75" thickTop="1">
      <c r="A77" s="98">
        <v>6201</v>
      </c>
      <c r="B77" s="108" t="s">
        <v>25</v>
      </c>
      <c r="C77" s="80">
        <f>Markaz!C77+Avenue!C77</f>
        <v>15470</v>
      </c>
      <c r="D77" s="49">
        <f t="shared" si="24"/>
        <v>5.9169642232881001E-2</v>
      </c>
      <c r="E77" s="80">
        <f>Markaz!E77+Avenue!E77</f>
        <v>15470</v>
      </c>
      <c r="F77" s="49">
        <f t="shared" si="25"/>
        <v>7.6053373693670906E-2</v>
      </c>
      <c r="G77" s="80">
        <f>Markaz!G77+Avenue!G77</f>
        <v>15470</v>
      </c>
      <c r="H77" s="49">
        <f t="shared" si="26"/>
        <v>4.5849046779034779E-2</v>
      </c>
      <c r="I77" s="80">
        <f>Markaz!I77+Avenue!I77</f>
        <v>15470</v>
      </c>
      <c r="J77" s="49">
        <f t="shared" si="27"/>
        <v>5.19245128114336E-2</v>
      </c>
      <c r="K77" s="80">
        <f>Markaz!K77+Avenue!K77</f>
        <v>15470</v>
      </c>
      <c r="L77" s="49">
        <f t="shared" si="28"/>
        <v>5.6772803687802131E-2</v>
      </c>
      <c r="M77" s="80">
        <f>Markaz!M77+Avenue!M77</f>
        <v>15470</v>
      </c>
      <c r="N77" s="49">
        <f t="shared" si="29"/>
        <v>4.0037629409701715E-2</v>
      </c>
      <c r="O77" s="80">
        <f>Markaz!O77+Avenue!O77</f>
        <v>15470</v>
      </c>
      <c r="P77" s="49">
        <f t="shared" si="30"/>
        <v>6.3239557286484838E-2</v>
      </c>
      <c r="Q77" s="80">
        <f>Markaz!Q77+Avenue!Q77</f>
        <v>15470</v>
      </c>
      <c r="R77" s="49">
        <f t="shared" si="31"/>
        <v>5.0928218652079867E-2</v>
      </c>
      <c r="S77" s="80">
        <f>Markaz!S77+Avenue!S77</f>
        <v>15470</v>
      </c>
      <c r="T77" s="49">
        <f t="shared" si="32"/>
        <v>5.0555158197508096E-2</v>
      </c>
      <c r="U77" s="80">
        <f>Markaz!U77+Avenue!U77</f>
        <v>15470</v>
      </c>
      <c r="V77" s="49">
        <f t="shared" si="33"/>
        <v>6.3735176567816396E-2</v>
      </c>
      <c r="W77" s="80">
        <f>Markaz!W77+Avenue!W77</f>
        <v>15470</v>
      </c>
      <c r="X77" s="49">
        <f t="shared" si="34"/>
        <v>6.2642593929125343E-2</v>
      </c>
      <c r="Y77" s="80">
        <f>Markaz!Y77+Avenue!Y77</f>
        <v>15470</v>
      </c>
      <c r="Z77" s="168">
        <f t="shared" si="35"/>
        <v>4.146694129110115E-2</v>
      </c>
      <c r="AA77" s="275">
        <f t="shared" si="36"/>
        <v>185640</v>
      </c>
      <c r="AB77" s="203">
        <f t="shared" si="37"/>
        <v>5.3402861148733938E-2</v>
      </c>
      <c r="AC77" s="197">
        <f t="shared" si="38"/>
        <v>15470</v>
      </c>
      <c r="AD77" s="203">
        <f t="shared" si="39"/>
        <v>5.3402861148733945E-2</v>
      </c>
      <c r="AE77" s="75"/>
      <c r="AF77" s="158"/>
      <c r="AG77" s="75"/>
      <c r="AH77" s="197">
        <v>84307.301999999996</v>
      </c>
      <c r="AI77" s="244">
        <f>AH77/AH12</f>
        <v>0.10469963401146865</v>
      </c>
      <c r="AJ77" s="282">
        <f t="shared" si="41"/>
        <v>285417.30200000003</v>
      </c>
      <c r="AK77" s="53">
        <f t="shared" si="42"/>
        <v>0</v>
      </c>
      <c r="AL77" s="53">
        <f t="shared" si="43"/>
        <v>185640</v>
      </c>
      <c r="AM77" s="53">
        <f t="shared" si="40"/>
        <v>1454180</v>
      </c>
      <c r="AN77" s="53" t="e">
        <f>#REF!-AM77</f>
        <v>#REF!</v>
      </c>
      <c r="AO77" s="53"/>
    </row>
    <row r="78" spans="1:44">
      <c r="A78" s="2">
        <v>6202</v>
      </c>
      <c r="B78" s="108" t="s">
        <v>26</v>
      </c>
      <c r="C78" s="80">
        <f>Markaz!C78+Avenue!C78</f>
        <v>4420</v>
      </c>
      <c r="D78" s="49">
        <f t="shared" si="24"/>
        <v>1.6905612066537429E-2</v>
      </c>
      <c r="E78" s="80">
        <f>Markaz!E78+Avenue!E78</f>
        <v>4420</v>
      </c>
      <c r="F78" s="49">
        <f t="shared" si="25"/>
        <v>2.1729535341048829E-2</v>
      </c>
      <c r="G78" s="80">
        <f>Markaz!G78+Avenue!G78</f>
        <v>4420</v>
      </c>
      <c r="H78" s="49">
        <f t="shared" si="26"/>
        <v>1.3099727651152795E-2</v>
      </c>
      <c r="I78" s="80">
        <f>Markaz!I78+Avenue!I78</f>
        <v>4420</v>
      </c>
      <c r="J78" s="49">
        <f t="shared" si="27"/>
        <v>1.4835575088981028E-2</v>
      </c>
      <c r="K78" s="80">
        <f>Markaz!K78+Avenue!K78</f>
        <v>4420</v>
      </c>
      <c r="L78" s="49">
        <f t="shared" si="28"/>
        <v>1.6220801053657752E-2</v>
      </c>
      <c r="M78" s="80">
        <f>Markaz!M78+Avenue!M78</f>
        <v>4420</v>
      </c>
      <c r="N78" s="49">
        <f t="shared" si="29"/>
        <v>1.1439322688486204E-2</v>
      </c>
      <c r="O78" s="80">
        <f>Markaz!O78+Avenue!O78</f>
        <v>4420</v>
      </c>
      <c r="P78" s="49">
        <f t="shared" si="30"/>
        <v>1.8068444938995669E-2</v>
      </c>
      <c r="Q78" s="80">
        <f>Markaz!Q78+Avenue!Q78</f>
        <v>4420</v>
      </c>
      <c r="R78" s="49">
        <f t="shared" si="31"/>
        <v>1.4550919614879962E-2</v>
      </c>
      <c r="S78" s="80">
        <f>Markaz!S78+Avenue!S78</f>
        <v>4420</v>
      </c>
      <c r="T78" s="49">
        <f t="shared" si="32"/>
        <v>1.4444330913573743E-2</v>
      </c>
      <c r="U78" s="80">
        <f>Markaz!U78+Avenue!U78</f>
        <v>4420</v>
      </c>
      <c r="V78" s="49">
        <f t="shared" si="33"/>
        <v>1.8210050447947542E-2</v>
      </c>
      <c r="W78" s="80">
        <f>Markaz!W78+Avenue!W78</f>
        <v>4420</v>
      </c>
      <c r="X78" s="49">
        <f t="shared" si="34"/>
        <v>1.7897883979750097E-2</v>
      </c>
      <c r="Y78" s="80">
        <f>Markaz!Y78+Avenue!Y78</f>
        <v>4420</v>
      </c>
      <c r="Z78" s="168">
        <f t="shared" si="35"/>
        <v>1.1847697511743187E-2</v>
      </c>
      <c r="AA78" s="275">
        <f t="shared" si="36"/>
        <v>53040</v>
      </c>
      <c r="AB78" s="203">
        <f t="shared" si="37"/>
        <v>1.5257960328209698E-2</v>
      </c>
      <c r="AC78" s="197">
        <f t="shared" si="38"/>
        <v>4420</v>
      </c>
      <c r="AD78" s="203">
        <f t="shared" si="39"/>
        <v>1.5257960328209698E-2</v>
      </c>
      <c r="AE78" s="75"/>
      <c r="AF78" s="158"/>
      <c r="AG78" s="75"/>
      <c r="AH78" s="197">
        <v>24087.8</v>
      </c>
      <c r="AI78" s="244">
        <f>AH78/AH12</f>
        <v>2.9914180436487629E-2</v>
      </c>
      <c r="AJ78" s="282">
        <f t="shared" si="41"/>
        <v>81547.8</v>
      </c>
      <c r="AK78" s="53">
        <f t="shared" si="42"/>
        <v>0</v>
      </c>
      <c r="AL78" s="53">
        <f t="shared" si="43"/>
        <v>53040</v>
      </c>
      <c r="AM78" s="53">
        <f t="shared" si="40"/>
        <v>415480</v>
      </c>
      <c r="AN78" s="53" t="e">
        <f>#REF!-AM78</f>
        <v>#REF!</v>
      </c>
      <c r="AO78" s="53"/>
    </row>
    <row r="79" spans="1:44">
      <c r="A79" s="2">
        <v>6203</v>
      </c>
      <c r="B79" s="108" t="s">
        <v>27</v>
      </c>
      <c r="C79" s="80">
        <f>Markaz!C79+Avenue!C79</f>
        <v>2210</v>
      </c>
      <c r="D79" s="49">
        <f t="shared" si="24"/>
        <v>8.4528060332687144E-3</v>
      </c>
      <c r="E79" s="80">
        <f>Markaz!E79+Avenue!E79</f>
        <v>2210</v>
      </c>
      <c r="F79" s="49">
        <f t="shared" si="25"/>
        <v>1.0864767670524415E-2</v>
      </c>
      <c r="G79" s="80">
        <f>Markaz!G79+Avenue!G79</f>
        <v>2210</v>
      </c>
      <c r="H79" s="49">
        <f t="shared" si="26"/>
        <v>6.5498638255763976E-3</v>
      </c>
      <c r="I79" s="80">
        <f>Markaz!I79+Avenue!I79</f>
        <v>2210</v>
      </c>
      <c r="J79" s="49">
        <f t="shared" si="27"/>
        <v>7.4177875444905138E-3</v>
      </c>
      <c r="K79" s="80">
        <f>Markaz!K79+Avenue!K79</f>
        <v>2210</v>
      </c>
      <c r="L79" s="49">
        <f t="shared" si="28"/>
        <v>8.1104005268288759E-3</v>
      </c>
      <c r="M79" s="80">
        <f>Markaz!M79+Avenue!M79</f>
        <v>2210</v>
      </c>
      <c r="N79" s="49">
        <f t="shared" si="29"/>
        <v>5.7196613442431019E-3</v>
      </c>
      <c r="O79" s="80">
        <f>Markaz!O79+Avenue!O79</f>
        <v>2210</v>
      </c>
      <c r="P79" s="49">
        <f t="shared" si="30"/>
        <v>9.0342224694978344E-3</v>
      </c>
      <c r="Q79" s="80">
        <f>Markaz!Q79+Avenue!Q79</f>
        <v>2210</v>
      </c>
      <c r="R79" s="49">
        <f t="shared" si="31"/>
        <v>7.2754598074399809E-3</v>
      </c>
      <c r="S79" s="80">
        <f>Markaz!S79+Avenue!S79</f>
        <v>2210</v>
      </c>
      <c r="T79" s="49">
        <f t="shared" si="32"/>
        <v>7.2221654567868714E-3</v>
      </c>
      <c r="U79" s="80">
        <f>Markaz!U79+Avenue!U79</f>
        <v>2210</v>
      </c>
      <c r="V79" s="49">
        <f t="shared" si="33"/>
        <v>9.1050252239737711E-3</v>
      </c>
      <c r="W79" s="80">
        <f>Markaz!W79+Avenue!W79</f>
        <v>2210</v>
      </c>
      <c r="X79" s="49">
        <f t="shared" si="34"/>
        <v>8.9489419898750484E-3</v>
      </c>
      <c r="Y79" s="80">
        <f>Markaz!Y79+Avenue!Y79</f>
        <v>2210</v>
      </c>
      <c r="Z79" s="168">
        <f t="shared" si="35"/>
        <v>5.9238487558715934E-3</v>
      </c>
      <c r="AA79" s="275">
        <f t="shared" si="36"/>
        <v>26520</v>
      </c>
      <c r="AB79" s="203">
        <f t="shared" si="37"/>
        <v>7.6289801641048491E-3</v>
      </c>
      <c r="AC79" s="197">
        <f t="shared" si="38"/>
        <v>2210</v>
      </c>
      <c r="AD79" s="203">
        <f t="shared" si="39"/>
        <v>7.6289801641048491E-3</v>
      </c>
      <c r="AE79" s="75"/>
      <c r="AF79" s="158"/>
      <c r="AG79" s="75"/>
      <c r="AH79" s="197">
        <v>12043.9</v>
      </c>
      <c r="AI79" s="244">
        <f>AH79/AH12</f>
        <v>1.4957090218243815E-2</v>
      </c>
      <c r="AJ79" s="282">
        <f t="shared" si="41"/>
        <v>40773.9</v>
      </c>
      <c r="AK79" s="53">
        <f t="shared" si="42"/>
        <v>0</v>
      </c>
      <c r="AL79" s="53">
        <f t="shared" si="43"/>
        <v>26520</v>
      </c>
      <c r="AM79" s="53">
        <f t="shared" si="40"/>
        <v>207740</v>
      </c>
      <c r="AN79" s="53" t="e">
        <f>#REF!-AM79</f>
        <v>#REF!</v>
      </c>
      <c r="AO79" s="53"/>
    </row>
    <row r="80" spans="1:44">
      <c r="A80" s="2">
        <v>6204</v>
      </c>
      <c r="B80" s="108" t="s">
        <v>28</v>
      </c>
      <c r="C80" s="130">
        <f>Markaz!C80+Avenue!C80</f>
        <v>0</v>
      </c>
      <c r="D80" s="49">
        <f t="shared" si="24"/>
        <v>0</v>
      </c>
      <c r="E80" s="130">
        <f>Markaz!E80+Avenue!E80</f>
        <v>0</v>
      </c>
      <c r="F80" s="49">
        <f t="shared" si="25"/>
        <v>0</v>
      </c>
      <c r="G80" s="130">
        <f>Markaz!G80+Avenue!G80</f>
        <v>0</v>
      </c>
      <c r="H80" s="49">
        <f t="shared" si="26"/>
        <v>0</v>
      </c>
      <c r="I80" s="130">
        <f>Markaz!I80+Avenue!I80</f>
        <v>0</v>
      </c>
      <c r="J80" s="49">
        <f t="shared" si="27"/>
        <v>0</v>
      </c>
      <c r="K80" s="130">
        <f>Markaz!K80+Avenue!K80</f>
        <v>0</v>
      </c>
      <c r="L80" s="49">
        <f t="shared" si="28"/>
        <v>0</v>
      </c>
      <c r="M80" s="130">
        <f>Markaz!M80+Avenue!M80</f>
        <v>0</v>
      </c>
      <c r="N80" s="49">
        <f t="shared" si="29"/>
        <v>0</v>
      </c>
      <c r="O80" s="130">
        <f>Markaz!O80+Avenue!O80</f>
        <v>0</v>
      </c>
      <c r="P80" s="49">
        <f t="shared" si="30"/>
        <v>0</v>
      </c>
      <c r="Q80" s="130">
        <f>Markaz!Q80+Avenue!Q80</f>
        <v>0</v>
      </c>
      <c r="R80" s="49">
        <f t="shared" si="31"/>
        <v>0</v>
      </c>
      <c r="S80" s="130">
        <f>Markaz!S80+Avenue!S80</f>
        <v>0</v>
      </c>
      <c r="T80" s="49">
        <f t="shared" si="32"/>
        <v>0</v>
      </c>
      <c r="U80" s="130">
        <f>Markaz!U80+Avenue!U80</f>
        <v>0</v>
      </c>
      <c r="V80" s="49">
        <f t="shared" si="33"/>
        <v>0</v>
      </c>
      <c r="W80" s="130">
        <f>Markaz!W80+Avenue!W80</f>
        <v>0</v>
      </c>
      <c r="X80" s="49">
        <f t="shared" si="34"/>
        <v>0</v>
      </c>
      <c r="Y80" s="130">
        <f>Markaz!Y80+Avenue!Y80</f>
        <v>0</v>
      </c>
      <c r="Z80" s="168">
        <f t="shared" si="35"/>
        <v>0</v>
      </c>
      <c r="AA80" s="275">
        <f t="shared" si="36"/>
        <v>0</v>
      </c>
      <c r="AB80" s="203">
        <f t="shared" si="37"/>
        <v>0</v>
      </c>
      <c r="AC80" s="194">
        <f t="shared" si="38"/>
        <v>0</v>
      </c>
      <c r="AD80" s="203">
        <f t="shared" si="39"/>
        <v>0</v>
      </c>
      <c r="AE80" s="75"/>
      <c r="AF80" s="158"/>
      <c r="AG80" s="75"/>
      <c r="AH80" s="194">
        <v>0</v>
      </c>
      <c r="AI80" s="244">
        <f>AH80/AH12</f>
        <v>0</v>
      </c>
      <c r="AJ80" s="282">
        <f t="shared" si="41"/>
        <v>0</v>
      </c>
      <c r="AK80" s="53">
        <f t="shared" si="42"/>
        <v>0</v>
      </c>
      <c r="AL80" s="53">
        <f t="shared" si="43"/>
        <v>0</v>
      </c>
      <c r="AM80" s="53">
        <f t="shared" si="40"/>
        <v>0</v>
      </c>
      <c r="AN80" s="53" t="e">
        <f>#REF!-AM80</f>
        <v>#REF!</v>
      </c>
      <c r="AO80" s="53"/>
    </row>
    <row r="81" spans="1:41">
      <c r="A81" s="2">
        <v>6205</v>
      </c>
      <c r="B81" s="108" t="s">
        <v>29</v>
      </c>
      <c r="C81" s="130">
        <f>Markaz!C81+Avenue!C81</f>
        <v>0</v>
      </c>
      <c r="D81" s="49">
        <f t="shared" si="24"/>
        <v>0</v>
      </c>
      <c r="E81" s="130">
        <f>Markaz!E81+Avenue!E81</f>
        <v>0</v>
      </c>
      <c r="F81" s="49">
        <f t="shared" si="25"/>
        <v>0</v>
      </c>
      <c r="G81" s="130">
        <f>Markaz!G81+Avenue!G81</f>
        <v>0</v>
      </c>
      <c r="H81" s="49">
        <f t="shared" si="26"/>
        <v>0</v>
      </c>
      <c r="I81" s="130">
        <f>Markaz!I81+Avenue!I81</f>
        <v>0</v>
      </c>
      <c r="J81" s="49">
        <f t="shared" si="27"/>
        <v>0</v>
      </c>
      <c r="K81" s="130">
        <f>Markaz!K81+Avenue!K81</f>
        <v>0</v>
      </c>
      <c r="L81" s="49">
        <f t="shared" si="28"/>
        <v>0</v>
      </c>
      <c r="M81" s="130">
        <f>Markaz!M81+Avenue!M81</f>
        <v>0</v>
      </c>
      <c r="N81" s="49">
        <f t="shared" si="29"/>
        <v>0</v>
      </c>
      <c r="O81" s="130">
        <f>Markaz!O81+Avenue!O81</f>
        <v>0</v>
      </c>
      <c r="P81" s="49">
        <f t="shared" si="30"/>
        <v>0</v>
      </c>
      <c r="Q81" s="130">
        <f>Markaz!Q81+Avenue!Q81</f>
        <v>0</v>
      </c>
      <c r="R81" s="49">
        <f t="shared" si="31"/>
        <v>0</v>
      </c>
      <c r="S81" s="130">
        <f>Markaz!S81+Avenue!S81</f>
        <v>0</v>
      </c>
      <c r="T81" s="49">
        <f t="shared" si="32"/>
        <v>0</v>
      </c>
      <c r="U81" s="130">
        <f>Markaz!U81+Avenue!U81</f>
        <v>0</v>
      </c>
      <c r="V81" s="49">
        <f t="shared" si="33"/>
        <v>0</v>
      </c>
      <c r="W81" s="130">
        <f>Markaz!W81+Avenue!W81</f>
        <v>0</v>
      </c>
      <c r="X81" s="49">
        <f t="shared" si="34"/>
        <v>0</v>
      </c>
      <c r="Y81" s="130">
        <f>Markaz!Y81+Avenue!Y81</f>
        <v>0</v>
      </c>
      <c r="Z81" s="168">
        <f t="shared" si="35"/>
        <v>0</v>
      </c>
      <c r="AA81" s="275">
        <f t="shared" si="36"/>
        <v>0</v>
      </c>
      <c r="AB81" s="203">
        <f t="shared" si="37"/>
        <v>0</v>
      </c>
      <c r="AC81" s="194">
        <f t="shared" si="38"/>
        <v>0</v>
      </c>
      <c r="AD81" s="203">
        <f t="shared" si="39"/>
        <v>0</v>
      </c>
      <c r="AE81" s="75"/>
      <c r="AF81" s="158"/>
      <c r="AG81" s="75"/>
      <c r="AH81" s="194">
        <v>0</v>
      </c>
      <c r="AI81" s="244">
        <f>AH81/AH12</f>
        <v>0</v>
      </c>
      <c r="AJ81" s="282">
        <f t="shared" si="41"/>
        <v>0</v>
      </c>
      <c r="AK81" s="53">
        <f t="shared" si="42"/>
        <v>0</v>
      </c>
      <c r="AL81" s="53">
        <f t="shared" si="43"/>
        <v>0</v>
      </c>
      <c r="AM81" s="53">
        <f t="shared" ref="AM81:AM122" si="44">G81*9.4+I81*9.4+K81*9.4+M81*9.4+O81*9.4+Q81*9.4+S81*9.4+U81*9.4+W81*9.4+Y81*9.4</f>
        <v>0</v>
      </c>
      <c r="AN81" s="53" t="e">
        <f>#REF!-AM81</f>
        <v>#REF!</v>
      </c>
      <c r="AO81" s="53"/>
    </row>
    <row r="82" spans="1:41">
      <c r="A82" s="2">
        <v>6206</v>
      </c>
      <c r="B82" s="2" t="s">
        <v>174</v>
      </c>
      <c r="C82" s="130">
        <f>Markaz!C82+Avenue!C82</f>
        <v>100.15199999999999</v>
      </c>
      <c r="D82" s="49">
        <f t="shared" si="24"/>
        <v>3.8306128047236568E-4</v>
      </c>
      <c r="E82" s="130">
        <f>Markaz!E82+Avenue!E82</f>
        <v>100.15199999999999</v>
      </c>
      <c r="F82" s="49">
        <f t="shared" si="25"/>
        <v>4.923657066689416E-4</v>
      </c>
      <c r="G82" s="130">
        <f>Markaz!G82+Avenue!G82</f>
        <v>100.15199999999999</v>
      </c>
      <c r="H82" s="49">
        <f t="shared" si="26"/>
        <v>2.9682441713082679E-4</v>
      </c>
      <c r="I82" s="130">
        <f>Markaz!I82+Avenue!I82</f>
        <v>100.15199999999999</v>
      </c>
      <c r="J82" s="49">
        <f t="shared" si="27"/>
        <v>3.361566778985583E-4</v>
      </c>
      <c r="K82" s="130">
        <f>Markaz!K82+Avenue!K82</f>
        <v>100.15199999999999</v>
      </c>
      <c r="L82" s="49">
        <f t="shared" si="28"/>
        <v>3.6754426858052737E-4</v>
      </c>
      <c r="M82" s="130">
        <f>Markaz!M82+Avenue!M82</f>
        <v>100.15199999999999</v>
      </c>
      <c r="N82" s="49">
        <f t="shared" si="29"/>
        <v>2.5920159409440499E-4</v>
      </c>
      <c r="O82" s="130">
        <f>Markaz!O82+Avenue!O82</f>
        <v>100.15199999999999</v>
      </c>
      <c r="P82" s="49">
        <f t="shared" si="30"/>
        <v>4.0940970532359587E-4</v>
      </c>
      <c r="Q82" s="130">
        <f>Markaz!Q82+Avenue!Q82</f>
        <v>100.15199999999999</v>
      </c>
      <c r="R82" s="49">
        <f t="shared" si="31"/>
        <v>3.2970671974422123E-4</v>
      </c>
      <c r="S82" s="130">
        <f>Markaz!S82+Avenue!S82</f>
        <v>100.15199999999999</v>
      </c>
      <c r="T82" s="49">
        <f t="shared" si="32"/>
        <v>3.2729154517109442E-4</v>
      </c>
      <c r="U82" s="130">
        <f>Markaz!U82+Avenue!U82</f>
        <v>100.15199999999999</v>
      </c>
      <c r="V82" s="49">
        <f t="shared" si="33"/>
        <v>4.1261831956172898E-4</v>
      </c>
      <c r="W82" s="130">
        <f>Markaz!W82+Avenue!W82</f>
        <v>100.15199999999999</v>
      </c>
      <c r="X82" s="49">
        <f t="shared" si="34"/>
        <v>4.0554499464704331E-4</v>
      </c>
      <c r="Y82" s="130">
        <f>Markaz!Y82+Avenue!Y82</f>
        <v>100.15199999999999</v>
      </c>
      <c r="Z82" s="168">
        <f t="shared" si="35"/>
        <v>2.6845488714843967E-4</v>
      </c>
      <c r="AA82" s="275">
        <f t="shared" si="36"/>
        <v>1201.8240000000001</v>
      </c>
      <c r="AB82" s="203">
        <f t="shared" si="37"/>
        <v>3.4572743049566916E-4</v>
      </c>
      <c r="AC82" s="194">
        <f t="shared" si="38"/>
        <v>100.152</v>
      </c>
      <c r="AD82" s="203">
        <f t="shared" si="39"/>
        <v>3.4572743049566916E-4</v>
      </c>
      <c r="AE82" s="75"/>
      <c r="AF82" s="158"/>
      <c r="AG82" s="75"/>
      <c r="AH82" s="194">
        <v>0</v>
      </c>
      <c r="AI82" s="244">
        <f>AH82/AH12</f>
        <v>0</v>
      </c>
      <c r="AJ82" s="282">
        <f t="shared" si="41"/>
        <v>1301.9760000000001</v>
      </c>
      <c r="AK82" s="53">
        <f t="shared" si="42"/>
        <v>0</v>
      </c>
      <c r="AL82" s="53">
        <f t="shared" si="43"/>
        <v>1201.8240000000001</v>
      </c>
      <c r="AM82" s="53">
        <f t="shared" si="44"/>
        <v>9414.2879999999986</v>
      </c>
      <c r="AN82" s="53" t="e">
        <f>#REF!-AM82</f>
        <v>#REF!</v>
      </c>
      <c r="AO82" s="53" t="s">
        <v>213</v>
      </c>
    </row>
    <row r="83" spans="1:41">
      <c r="A83" s="2">
        <v>6207</v>
      </c>
      <c r="B83" s="2" t="s">
        <v>175</v>
      </c>
      <c r="C83" s="130">
        <f>Markaz!C83+Avenue!C83</f>
        <v>550</v>
      </c>
      <c r="D83" s="49">
        <f t="shared" si="24"/>
        <v>2.1036395105419876E-3</v>
      </c>
      <c r="E83" s="130">
        <f>Markaz!E83+Avenue!E83</f>
        <v>550</v>
      </c>
      <c r="F83" s="49">
        <f t="shared" si="25"/>
        <v>2.7039014564653519E-3</v>
      </c>
      <c r="G83" s="130">
        <f>Markaz!G83+Avenue!G83</f>
        <v>550</v>
      </c>
      <c r="H83" s="49">
        <f t="shared" si="26"/>
        <v>1.6300566081751215E-3</v>
      </c>
      <c r="I83" s="130">
        <f>Markaz!I83+Avenue!I83</f>
        <v>550</v>
      </c>
      <c r="J83" s="49">
        <f t="shared" si="27"/>
        <v>1.8460557237419831E-3</v>
      </c>
      <c r="K83" s="130">
        <f>Markaz!K83+Avenue!K83</f>
        <v>550</v>
      </c>
      <c r="L83" s="49">
        <f t="shared" si="28"/>
        <v>2.0184254704777747E-3</v>
      </c>
      <c r="M83" s="130">
        <f>Markaz!M83+Avenue!M83</f>
        <v>550</v>
      </c>
      <c r="N83" s="49">
        <f t="shared" si="29"/>
        <v>1.4234451309202288E-3</v>
      </c>
      <c r="O83" s="130">
        <f>Markaz!O83+Avenue!O83</f>
        <v>550</v>
      </c>
      <c r="P83" s="49">
        <f t="shared" si="30"/>
        <v>2.2483359086985558E-3</v>
      </c>
      <c r="Q83" s="130">
        <f>Markaz!Q83+Avenue!Q83</f>
        <v>550</v>
      </c>
      <c r="R83" s="49">
        <f t="shared" si="31"/>
        <v>1.8106347937067826E-3</v>
      </c>
      <c r="S83" s="130">
        <f>Markaz!S83+Avenue!S83</f>
        <v>550</v>
      </c>
      <c r="T83" s="49">
        <f t="shared" si="32"/>
        <v>1.7973714937704883E-3</v>
      </c>
      <c r="U83" s="130">
        <f>Markaz!U83+Avenue!U83</f>
        <v>550</v>
      </c>
      <c r="V83" s="49">
        <f t="shared" si="33"/>
        <v>2.2659565037038798E-3</v>
      </c>
      <c r="W83" s="130">
        <f>Markaz!W83+Avenue!W83</f>
        <v>550</v>
      </c>
      <c r="X83" s="49">
        <f t="shared" si="34"/>
        <v>2.2271122599236545E-3</v>
      </c>
      <c r="Y83" s="130">
        <f>Markaz!Y83+Avenue!Y83</f>
        <v>550</v>
      </c>
      <c r="Z83" s="168">
        <f t="shared" si="35"/>
        <v>1.474261002592478E-3</v>
      </c>
      <c r="AA83" s="275">
        <f t="shared" si="36"/>
        <v>6600</v>
      </c>
      <c r="AB83" s="203">
        <f t="shared" si="37"/>
        <v>1.89861497296727E-3</v>
      </c>
      <c r="AC83" s="194">
        <f t="shared" si="38"/>
        <v>550</v>
      </c>
      <c r="AD83" s="203">
        <f t="shared" si="39"/>
        <v>1.8986149729672702E-3</v>
      </c>
      <c r="AE83" s="75"/>
      <c r="AF83" s="158"/>
      <c r="AG83" s="75"/>
      <c r="AH83" s="194">
        <v>1135.0999999999999</v>
      </c>
      <c r="AI83" s="244">
        <f>AH83/AH12</f>
        <v>1.4096590893920202E-3</v>
      </c>
      <c r="AJ83" s="282">
        <f t="shared" si="41"/>
        <v>8285.1</v>
      </c>
      <c r="AK83" s="53">
        <f t="shared" si="42"/>
        <v>0</v>
      </c>
      <c r="AL83" s="53">
        <f t="shared" si="43"/>
        <v>6600</v>
      </c>
      <c r="AM83" s="53">
        <f t="shared" si="44"/>
        <v>51700</v>
      </c>
      <c r="AN83" s="53" t="e">
        <f>#REF!-AM83</f>
        <v>#REF!</v>
      </c>
      <c r="AO83" s="53">
        <v>42.86</v>
      </c>
    </row>
    <row r="84" spans="1:41">
      <c r="A84" s="2">
        <v>6208</v>
      </c>
      <c r="B84" s="2" t="s">
        <v>176</v>
      </c>
      <c r="C84" s="130">
        <f>Markaz!C84+Avenue!C84</f>
        <v>0</v>
      </c>
      <c r="D84" s="49">
        <f t="shared" si="24"/>
        <v>0</v>
      </c>
      <c r="E84" s="130">
        <f>Markaz!E84+Avenue!E84</f>
        <v>0</v>
      </c>
      <c r="F84" s="49">
        <f t="shared" si="25"/>
        <v>0</v>
      </c>
      <c r="G84" s="130">
        <f>Markaz!G84+Avenue!G84</f>
        <v>0</v>
      </c>
      <c r="H84" s="49">
        <f t="shared" si="26"/>
        <v>0</v>
      </c>
      <c r="I84" s="130">
        <f>Markaz!I84+Avenue!I84</f>
        <v>0</v>
      </c>
      <c r="J84" s="49">
        <f t="shared" si="27"/>
        <v>0</v>
      </c>
      <c r="K84" s="130">
        <f>Markaz!K84+Avenue!K84</f>
        <v>0</v>
      </c>
      <c r="L84" s="49">
        <f t="shared" si="28"/>
        <v>0</v>
      </c>
      <c r="M84" s="130">
        <f>Markaz!M84+Avenue!M84</f>
        <v>0</v>
      </c>
      <c r="N84" s="49">
        <f t="shared" si="29"/>
        <v>0</v>
      </c>
      <c r="O84" s="130">
        <f>Markaz!O84+Avenue!O84</f>
        <v>0</v>
      </c>
      <c r="P84" s="49">
        <f t="shared" si="30"/>
        <v>0</v>
      </c>
      <c r="Q84" s="130">
        <f>Markaz!Q84+Avenue!Q84</f>
        <v>0</v>
      </c>
      <c r="R84" s="49">
        <f t="shared" si="31"/>
        <v>0</v>
      </c>
      <c r="S84" s="130">
        <f>Markaz!S84+Avenue!S84</f>
        <v>0</v>
      </c>
      <c r="T84" s="49">
        <f t="shared" si="32"/>
        <v>0</v>
      </c>
      <c r="U84" s="130">
        <f>Markaz!U84+Avenue!U84</f>
        <v>0</v>
      </c>
      <c r="V84" s="49">
        <f t="shared" si="33"/>
        <v>0</v>
      </c>
      <c r="W84" s="130">
        <f>Markaz!W84+Avenue!W84</f>
        <v>0</v>
      </c>
      <c r="X84" s="49">
        <f t="shared" si="34"/>
        <v>0</v>
      </c>
      <c r="Y84" s="130">
        <f>Markaz!Y84+Avenue!Y84</f>
        <v>0</v>
      </c>
      <c r="Z84" s="168">
        <f t="shared" si="35"/>
        <v>0</v>
      </c>
      <c r="AA84" s="275">
        <f t="shared" si="36"/>
        <v>0</v>
      </c>
      <c r="AB84" s="203">
        <f t="shared" si="37"/>
        <v>0</v>
      </c>
      <c r="AC84" s="194">
        <f t="shared" si="38"/>
        <v>0</v>
      </c>
      <c r="AD84" s="203">
        <f t="shared" si="39"/>
        <v>0</v>
      </c>
      <c r="AE84" s="75"/>
      <c r="AF84" s="158"/>
      <c r="AG84" s="75"/>
      <c r="AH84" s="194">
        <v>0</v>
      </c>
      <c r="AI84" s="244">
        <f>AH84/AH12</f>
        <v>0</v>
      </c>
      <c r="AJ84" s="282">
        <f t="shared" si="41"/>
        <v>0</v>
      </c>
      <c r="AK84" s="53">
        <f t="shared" si="42"/>
        <v>0</v>
      </c>
      <c r="AL84" s="53">
        <f t="shared" si="43"/>
        <v>0</v>
      </c>
      <c r="AM84" s="53">
        <f t="shared" si="44"/>
        <v>0</v>
      </c>
      <c r="AN84" s="53" t="e">
        <f>#REF!-AM84</f>
        <v>#REF!</v>
      </c>
      <c r="AO84" s="53"/>
    </row>
    <row r="85" spans="1:41">
      <c r="A85" s="2">
        <v>6209</v>
      </c>
      <c r="B85" s="108" t="s">
        <v>30</v>
      </c>
      <c r="C85" s="130">
        <f>Markaz!C85+Avenue!C85</f>
        <v>1454.8245614035088</v>
      </c>
      <c r="D85" s="49">
        <f t="shared" si="24"/>
        <v>5.5644116877733444E-3</v>
      </c>
      <c r="E85" s="130">
        <f>Markaz!E85+Avenue!E85</f>
        <v>1454.8245614035088</v>
      </c>
      <c r="F85" s="49">
        <f t="shared" si="25"/>
        <v>7.1521859099645717E-3</v>
      </c>
      <c r="G85" s="130">
        <f>Markaz!G85+Avenue!G85</f>
        <v>1454.8245614035088</v>
      </c>
      <c r="H85" s="49">
        <f t="shared" si="26"/>
        <v>4.3117207091841131E-3</v>
      </c>
      <c r="I85" s="130">
        <f>Markaz!I85+Avenue!I85</f>
        <v>1454.8245614035088</v>
      </c>
      <c r="J85" s="49">
        <f t="shared" si="27"/>
        <v>4.8830676520352136E-3</v>
      </c>
      <c r="K85" s="130">
        <f>Markaz!K85+Avenue!K85</f>
        <v>1454.8245614035088</v>
      </c>
      <c r="L85" s="49">
        <f t="shared" si="28"/>
        <v>5.339008999660908E-3</v>
      </c>
      <c r="M85" s="130">
        <f>Markaz!M85+Avenue!M85</f>
        <v>1454.8245614035088</v>
      </c>
      <c r="N85" s="49">
        <f t="shared" si="29"/>
        <v>3.7652053423145133E-3</v>
      </c>
      <c r="O85" s="130">
        <f>Markaz!O85+Avenue!O85</f>
        <v>1454.8245614035088</v>
      </c>
      <c r="P85" s="49">
        <f t="shared" si="30"/>
        <v>5.9471532768366111E-3</v>
      </c>
      <c r="Q85" s="130">
        <f>Markaz!Q85+Avenue!Q85</f>
        <v>1454.8245614035088</v>
      </c>
      <c r="R85" s="49">
        <f t="shared" si="31"/>
        <v>4.7893744902116411E-3</v>
      </c>
      <c r="S85" s="130">
        <f>Markaz!S85+Avenue!S85</f>
        <v>1454.8245614035088</v>
      </c>
      <c r="T85" s="49">
        <f t="shared" si="32"/>
        <v>4.7542912638251274E-3</v>
      </c>
      <c r="U85" s="130">
        <f>Markaz!U85+Avenue!U85</f>
        <v>1454.8245614035088</v>
      </c>
      <c r="V85" s="49">
        <f t="shared" si="33"/>
        <v>5.9937621393825911E-3</v>
      </c>
      <c r="W85" s="130">
        <f>Markaz!W85+Avenue!W85</f>
        <v>1454.8245614035088</v>
      </c>
      <c r="X85" s="49">
        <f t="shared" si="34"/>
        <v>5.8910138486178336E-3</v>
      </c>
      <c r="Y85" s="130">
        <f>Markaz!Y85+Avenue!Y85</f>
        <v>1454.8245614035088</v>
      </c>
      <c r="Z85" s="168">
        <f t="shared" si="35"/>
        <v>3.8996202118016343E-3</v>
      </c>
      <c r="AA85" s="275">
        <f t="shared" si="36"/>
        <v>17457.89473684211</v>
      </c>
      <c r="AB85" s="203">
        <f t="shared" si="37"/>
        <v>5.0220939914931715E-3</v>
      </c>
      <c r="AC85" s="194">
        <f t="shared" si="38"/>
        <v>1454.8245614035093</v>
      </c>
      <c r="AD85" s="203">
        <f t="shared" si="39"/>
        <v>5.0220939914931715E-3</v>
      </c>
      <c r="AE85" s="75"/>
      <c r="AF85" s="158"/>
      <c r="AG85" s="75"/>
      <c r="AH85" s="194">
        <v>7806.3899999999994</v>
      </c>
      <c r="AI85" s="244">
        <f>AH85/AH12</f>
        <v>9.6946071877710982E-3</v>
      </c>
      <c r="AJ85" s="282">
        <f t="shared" si="41"/>
        <v>26719.109298245618</v>
      </c>
      <c r="AK85" s="53">
        <f t="shared" si="42"/>
        <v>0</v>
      </c>
      <c r="AL85" s="53">
        <f t="shared" si="43"/>
        <v>17457.89473684211</v>
      </c>
      <c r="AM85" s="53">
        <f t="shared" si="44"/>
        <v>136753.5087719298</v>
      </c>
      <c r="AN85" s="53" t="e">
        <f>#REF!-AM85</f>
        <v>#REF!</v>
      </c>
      <c r="AO85" s="53"/>
    </row>
    <row r="86" spans="1:41">
      <c r="A86" s="2">
        <v>6210</v>
      </c>
      <c r="B86" s="108" t="s">
        <v>31</v>
      </c>
      <c r="C86" s="130">
        <f>Markaz!C86+Avenue!C86</f>
        <v>595.04871437989891</v>
      </c>
      <c r="D86" s="49">
        <f t="shared" si="24"/>
        <v>2.2759417932123084E-3</v>
      </c>
      <c r="E86" s="130">
        <f>Markaz!E86+Avenue!E86</f>
        <v>595.04871437989891</v>
      </c>
      <c r="F86" s="49">
        <f t="shared" si="25"/>
        <v>2.925369246326625E-3</v>
      </c>
      <c r="G86" s="130">
        <f>Markaz!G86+Avenue!G86</f>
        <v>595.04871437989891</v>
      </c>
      <c r="H86" s="49">
        <f t="shared" si="26"/>
        <v>1.7635692528382993E-3</v>
      </c>
      <c r="I86" s="130">
        <f>Markaz!I86+Avenue!I86</f>
        <v>595.04871437989891</v>
      </c>
      <c r="J86" s="49">
        <f t="shared" si="27"/>
        <v>1.9972601547024018E-3</v>
      </c>
      <c r="K86" s="130">
        <f>Markaz!K86+Avenue!K86</f>
        <v>595.04871437989891</v>
      </c>
      <c r="L86" s="49">
        <f t="shared" si="28"/>
        <v>2.1837481477808042E-3</v>
      </c>
      <c r="M86" s="130">
        <f>Markaz!M86+Avenue!M86</f>
        <v>595.04871437989891</v>
      </c>
      <c r="N86" s="49">
        <f t="shared" si="29"/>
        <v>1.540034900262562E-3</v>
      </c>
      <c r="O86" s="130">
        <f>Markaz!O86+Avenue!O86</f>
        <v>595.04871437989891</v>
      </c>
      <c r="P86" s="49">
        <f t="shared" si="30"/>
        <v>2.4324898035731589E-3</v>
      </c>
      <c r="Q86" s="130">
        <f>Markaz!Q86+Avenue!Q86</f>
        <v>595.04871437989891</v>
      </c>
      <c r="R86" s="49">
        <f t="shared" si="31"/>
        <v>1.958938011284972E-3</v>
      </c>
      <c r="S86" s="130">
        <f>Markaz!S86+Avenue!S86</f>
        <v>595.04871437989891</v>
      </c>
      <c r="T86" s="49">
        <f t="shared" si="32"/>
        <v>1.9445883575112863E-3</v>
      </c>
      <c r="U86" s="130">
        <f>Markaz!U86+Avenue!U86</f>
        <v>595.04871437989891</v>
      </c>
      <c r="V86" s="49">
        <f t="shared" si="33"/>
        <v>2.4515536443086624E-3</v>
      </c>
      <c r="W86" s="130">
        <f>Markaz!W86+Avenue!W86</f>
        <v>595.04871437989891</v>
      </c>
      <c r="X86" s="49">
        <f t="shared" si="34"/>
        <v>2.4095277946314217E-3</v>
      </c>
      <c r="Y86" s="130">
        <f>Markaz!Y86+Avenue!Y86</f>
        <v>595.04871437989891</v>
      </c>
      <c r="Z86" s="168">
        <f t="shared" si="35"/>
        <v>1.5950129350055906E-3</v>
      </c>
      <c r="AA86" s="275">
        <f t="shared" si="36"/>
        <v>7140.5845725587888</v>
      </c>
      <c r="AB86" s="203">
        <f t="shared" si="37"/>
        <v>2.0541243613938199E-3</v>
      </c>
      <c r="AC86" s="194">
        <f t="shared" si="38"/>
        <v>595.04871437989902</v>
      </c>
      <c r="AD86" s="203">
        <f t="shared" si="39"/>
        <v>2.0541243613938199E-3</v>
      </c>
      <c r="AE86" s="75"/>
      <c r="AF86" s="158"/>
      <c r="AG86" s="75"/>
      <c r="AH86" s="194">
        <v>2100.39</v>
      </c>
      <c r="AI86" s="244">
        <f>AH86/AH12</f>
        <v>2.6084343712167259E-3</v>
      </c>
      <c r="AJ86" s="282">
        <f t="shared" si="41"/>
        <v>9836.0232869386873</v>
      </c>
      <c r="AK86" s="53">
        <f t="shared" si="42"/>
        <v>0</v>
      </c>
      <c r="AL86" s="53">
        <f t="shared" si="43"/>
        <v>7140.5845725587888</v>
      </c>
      <c r="AM86" s="53">
        <f t="shared" si="44"/>
        <v>55934.579151710495</v>
      </c>
      <c r="AN86" s="53" t="e">
        <f>#REF!-AM86</f>
        <v>#REF!</v>
      </c>
      <c r="AO86" s="53"/>
    </row>
    <row r="87" spans="1:41">
      <c r="A87" s="2">
        <v>6211</v>
      </c>
      <c r="B87" s="108" t="s">
        <v>32</v>
      </c>
      <c r="C87" s="130">
        <f>Markaz!C87+Avenue!C87</f>
        <v>750</v>
      </c>
      <c r="D87" s="49">
        <f t="shared" si="24"/>
        <v>2.8685993325572559E-3</v>
      </c>
      <c r="E87" s="130">
        <f>Markaz!E87+Avenue!E87</f>
        <v>750</v>
      </c>
      <c r="F87" s="49">
        <f t="shared" si="25"/>
        <v>3.6871383497254799E-3</v>
      </c>
      <c r="G87" s="130">
        <f>Markaz!G87+Avenue!G87</f>
        <v>750</v>
      </c>
      <c r="H87" s="49">
        <f t="shared" si="26"/>
        <v>2.2228044656933477E-3</v>
      </c>
      <c r="I87" s="130">
        <f>Markaz!I87+Avenue!I87</f>
        <v>750</v>
      </c>
      <c r="J87" s="49">
        <f t="shared" si="27"/>
        <v>2.5173487141936135E-3</v>
      </c>
      <c r="K87" s="130">
        <f>Markaz!K87+Avenue!K87</f>
        <v>750</v>
      </c>
      <c r="L87" s="49">
        <f t="shared" si="28"/>
        <v>2.752398368833329E-3</v>
      </c>
      <c r="M87" s="130">
        <f>Markaz!M87+Avenue!M87</f>
        <v>750</v>
      </c>
      <c r="N87" s="49">
        <f t="shared" si="29"/>
        <v>1.9410615421639485E-3</v>
      </c>
      <c r="O87" s="130">
        <f>Markaz!O87+Avenue!O87</f>
        <v>750</v>
      </c>
      <c r="P87" s="49">
        <f t="shared" si="30"/>
        <v>3.0659126027707579E-3</v>
      </c>
      <c r="Q87" s="130">
        <f>Markaz!Q87+Avenue!Q87</f>
        <v>750</v>
      </c>
      <c r="R87" s="49">
        <f t="shared" si="31"/>
        <v>2.4690474459637944E-3</v>
      </c>
      <c r="S87" s="130">
        <f>Markaz!S87+Avenue!S87</f>
        <v>750</v>
      </c>
      <c r="T87" s="49">
        <f t="shared" si="32"/>
        <v>2.4509611278688477E-3</v>
      </c>
      <c r="U87" s="130">
        <f>Markaz!U87+Avenue!U87</f>
        <v>750</v>
      </c>
      <c r="V87" s="49">
        <f t="shared" si="33"/>
        <v>3.089940686868927E-3</v>
      </c>
      <c r="W87" s="130">
        <f>Markaz!W87+Avenue!W87</f>
        <v>750</v>
      </c>
      <c r="X87" s="49">
        <f t="shared" si="34"/>
        <v>3.0369712635322562E-3</v>
      </c>
      <c r="Y87" s="130">
        <f>Markaz!Y87+Avenue!Y87</f>
        <v>750</v>
      </c>
      <c r="Z87" s="168">
        <f t="shared" si="35"/>
        <v>2.0103559126261063E-3</v>
      </c>
      <c r="AA87" s="275">
        <f t="shared" si="36"/>
        <v>9000</v>
      </c>
      <c r="AB87" s="203">
        <f t="shared" si="37"/>
        <v>2.5890204176826411E-3</v>
      </c>
      <c r="AC87" s="194">
        <f t="shared" si="38"/>
        <v>750</v>
      </c>
      <c r="AD87" s="203">
        <f t="shared" si="39"/>
        <v>2.5890204176826411E-3</v>
      </c>
      <c r="AE87" s="75"/>
      <c r="AF87" s="158"/>
      <c r="AG87" s="75"/>
      <c r="AH87" s="194">
        <v>2377.6</v>
      </c>
      <c r="AI87" s="244">
        <f>AH87/AH12</f>
        <v>2.9526961949946856E-3</v>
      </c>
      <c r="AJ87" s="282">
        <f t="shared" si="41"/>
        <v>12127.6</v>
      </c>
      <c r="AK87" s="53">
        <f t="shared" si="42"/>
        <v>0</v>
      </c>
      <c r="AL87" s="53">
        <f t="shared" si="43"/>
        <v>9000</v>
      </c>
      <c r="AM87" s="53">
        <f t="shared" si="44"/>
        <v>70500</v>
      </c>
      <c r="AN87" s="53" t="e">
        <f>#REF!-AM87</f>
        <v>#REF!</v>
      </c>
      <c r="AO87" s="53"/>
    </row>
    <row r="88" spans="1:41">
      <c r="A88" s="98">
        <v>6212</v>
      </c>
      <c r="B88" s="108" t="s">
        <v>33</v>
      </c>
      <c r="C88" s="23">
        <f>Markaz!C88+Avenue!C88</f>
        <v>50</v>
      </c>
      <c r="D88" s="49">
        <f t="shared" si="24"/>
        <v>1.9123995550381708E-4</v>
      </c>
      <c r="E88" s="23">
        <f>Markaz!E88+Avenue!E88</f>
        <v>50</v>
      </c>
      <c r="F88" s="49">
        <f t="shared" si="25"/>
        <v>2.4580922331503198E-4</v>
      </c>
      <c r="G88" s="23">
        <f>Markaz!G88+Avenue!G88</f>
        <v>50</v>
      </c>
      <c r="H88" s="49">
        <f t="shared" si="26"/>
        <v>1.4818696437955651E-4</v>
      </c>
      <c r="I88" s="23">
        <f>Markaz!I88+Avenue!I88</f>
        <v>50</v>
      </c>
      <c r="J88" s="49">
        <f t="shared" si="27"/>
        <v>1.6782324761290755E-4</v>
      </c>
      <c r="K88" s="23">
        <f>Markaz!K88+Avenue!K88</f>
        <v>50</v>
      </c>
      <c r="L88" s="49">
        <f t="shared" si="28"/>
        <v>1.834932245888886E-4</v>
      </c>
      <c r="M88" s="23">
        <f>Markaz!M88+Avenue!M88</f>
        <v>50</v>
      </c>
      <c r="N88" s="49">
        <f t="shared" si="29"/>
        <v>1.2940410281092989E-4</v>
      </c>
      <c r="O88" s="23">
        <f>Markaz!O88+Avenue!O88</f>
        <v>50</v>
      </c>
      <c r="P88" s="49">
        <f t="shared" si="30"/>
        <v>2.0439417351805054E-4</v>
      </c>
      <c r="Q88" s="23">
        <f>Markaz!Q88+Avenue!Q88</f>
        <v>50</v>
      </c>
      <c r="R88" s="49">
        <f t="shared" si="31"/>
        <v>1.6460316306425297E-4</v>
      </c>
      <c r="S88" s="23">
        <f>Markaz!S88+Avenue!S88</f>
        <v>50</v>
      </c>
      <c r="T88" s="49">
        <f t="shared" si="32"/>
        <v>1.6339740852458983E-4</v>
      </c>
      <c r="U88" s="23">
        <f>Markaz!U88+Avenue!U88</f>
        <v>50</v>
      </c>
      <c r="V88" s="49">
        <f t="shared" si="33"/>
        <v>2.059960457912618E-4</v>
      </c>
      <c r="W88" s="23">
        <f>Markaz!W88+Avenue!W88</f>
        <v>50</v>
      </c>
      <c r="X88" s="49">
        <f t="shared" si="34"/>
        <v>2.0246475090215043E-4</v>
      </c>
      <c r="Y88" s="23">
        <f>Markaz!Y88+Avenue!Y88</f>
        <v>50</v>
      </c>
      <c r="Z88" s="168">
        <f t="shared" si="35"/>
        <v>1.3402372750840707E-4</v>
      </c>
      <c r="AA88" s="275">
        <f t="shared" si="36"/>
        <v>600</v>
      </c>
      <c r="AB88" s="203">
        <f t="shared" si="37"/>
        <v>1.7260136117884273E-4</v>
      </c>
      <c r="AC88" s="196">
        <f t="shared" si="38"/>
        <v>50</v>
      </c>
      <c r="AD88" s="203">
        <f t="shared" si="39"/>
        <v>1.7260136117884273E-4</v>
      </c>
      <c r="AE88" s="75"/>
      <c r="AF88" s="158"/>
      <c r="AG88" s="75"/>
      <c r="AH88" s="196">
        <v>0</v>
      </c>
      <c r="AI88" s="244">
        <f>AH88/AH12</f>
        <v>0</v>
      </c>
      <c r="AJ88" s="282">
        <f t="shared" si="41"/>
        <v>650</v>
      </c>
      <c r="AK88" s="53">
        <f t="shared" si="42"/>
        <v>0</v>
      </c>
      <c r="AL88" s="53">
        <f t="shared" si="43"/>
        <v>600</v>
      </c>
      <c r="AM88" s="53">
        <f t="shared" si="44"/>
        <v>4700</v>
      </c>
      <c r="AN88" s="53" t="e">
        <f>#REF!-AM88</f>
        <v>#REF!</v>
      </c>
      <c r="AO88" s="53"/>
    </row>
    <row r="89" spans="1:41">
      <c r="A89" s="98">
        <v>6213</v>
      </c>
      <c r="B89" s="108" t="s">
        <v>34</v>
      </c>
      <c r="C89" s="134">
        <f>Markaz!C89+Avenue!C89</f>
        <v>0</v>
      </c>
      <c r="D89" s="49">
        <f t="shared" si="24"/>
        <v>0</v>
      </c>
      <c r="E89" s="134">
        <f>Markaz!E89+Avenue!E89</f>
        <v>0</v>
      </c>
      <c r="F89" s="49">
        <f t="shared" si="25"/>
        <v>0</v>
      </c>
      <c r="G89" s="134">
        <f>Markaz!G89+Avenue!G89</f>
        <v>0</v>
      </c>
      <c r="H89" s="49">
        <f t="shared" si="26"/>
        <v>0</v>
      </c>
      <c r="I89" s="134">
        <f>Markaz!I89+Avenue!I89</f>
        <v>0</v>
      </c>
      <c r="J89" s="49">
        <f t="shared" si="27"/>
        <v>0</v>
      </c>
      <c r="K89" s="134">
        <f>Markaz!K89+Avenue!K89</f>
        <v>0</v>
      </c>
      <c r="L89" s="49">
        <f t="shared" si="28"/>
        <v>0</v>
      </c>
      <c r="M89" s="134">
        <f>Markaz!M89+Avenue!M89</f>
        <v>0</v>
      </c>
      <c r="N89" s="49">
        <f t="shared" si="29"/>
        <v>0</v>
      </c>
      <c r="O89" s="134">
        <f>Markaz!O89+Avenue!O89</f>
        <v>0</v>
      </c>
      <c r="P89" s="49">
        <f t="shared" si="30"/>
        <v>0</v>
      </c>
      <c r="Q89" s="134">
        <f>Markaz!Q89+Avenue!Q89</f>
        <v>0</v>
      </c>
      <c r="R89" s="49">
        <f t="shared" si="31"/>
        <v>0</v>
      </c>
      <c r="S89" s="134">
        <f>Markaz!S89+Avenue!S89</f>
        <v>0</v>
      </c>
      <c r="T89" s="49">
        <f t="shared" si="32"/>
        <v>0</v>
      </c>
      <c r="U89" s="134">
        <f>Markaz!U89+Avenue!U89</f>
        <v>0</v>
      </c>
      <c r="V89" s="49">
        <f t="shared" si="33"/>
        <v>0</v>
      </c>
      <c r="W89" s="134">
        <f>Markaz!W89+Avenue!W89</f>
        <v>0</v>
      </c>
      <c r="X89" s="49">
        <f t="shared" si="34"/>
        <v>0</v>
      </c>
      <c r="Y89" s="134">
        <f>Markaz!Y89+Avenue!Y89</f>
        <v>0</v>
      </c>
      <c r="Z89" s="168">
        <f t="shared" si="35"/>
        <v>0</v>
      </c>
      <c r="AA89" s="275">
        <f t="shared" si="36"/>
        <v>0</v>
      </c>
      <c r="AB89" s="203">
        <f t="shared" si="37"/>
        <v>0</v>
      </c>
      <c r="AC89" s="196">
        <f t="shared" si="38"/>
        <v>0</v>
      </c>
      <c r="AD89" s="203">
        <f t="shared" si="39"/>
        <v>0</v>
      </c>
      <c r="AE89" s="75"/>
      <c r="AF89" s="158"/>
      <c r="AG89" s="75"/>
      <c r="AH89" s="196">
        <v>4000</v>
      </c>
      <c r="AI89" s="244">
        <f>AH89/AH12</f>
        <v>4.967523881215824E-3</v>
      </c>
      <c r="AJ89" s="282">
        <f t="shared" si="41"/>
        <v>4000</v>
      </c>
      <c r="AK89" s="53">
        <f t="shared" si="42"/>
        <v>0</v>
      </c>
      <c r="AL89" s="53">
        <f t="shared" si="43"/>
        <v>0</v>
      </c>
      <c r="AM89" s="53">
        <f t="shared" si="44"/>
        <v>0</v>
      </c>
      <c r="AN89" s="53" t="e">
        <f>#REF!-AM89</f>
        <v>#REF!</v>
      </c>
      <c r="AO89" s="53"/>
    </row>
    <row r="90" spans="1:41">
      <c r="A90" s="2">
        <v>6214</v>
      </c>
      <c r="B90" s="108" t="s">
        <v>35</v>
      </c>
      <c r="C90" s="134">
        <f>Markaz!C90+Avenue!C90</f>
        <v>1547</v>
      </c>
      <c r="D90" s="49">
        <f t="shared" si="24"/>
        <v>5.9169642232881001E-3</v>
      </c>
      <c r="E90" s="134">
        <f>Markaz!E90+Avenue!E90</f>
        <v>1547</v>
      </c>
      <c r="F90" s="49">
        <f t="shared" si="25"/>
        <v>7.6053373693670901E-3</v>
      </c>
      <c r="G90" s="134">
        <f>Markaz!G90+Avenue!G90</f>
        <v>1547</v>
      </c>
      <c r="H90" s="49">
        <f t="shared" si="26"/>
        <v>4.584904677903478E-3</v>
      </c>
      <c r="I90" s="134">
        <f>Markaz!I90+Avenue!I90</f>
        <v>1547</v>
      </c>
      <c r="J90" s="49">
        <f t="shared" si="27"/>
        <v>5.1924512811433593E-3</v>
      </c>
      <c r="K90" s="134">
        <f>Markaz!K90+Avenue!K90</f>
        <v>1547</v>
      </c>
      <c r="L90" s="49">
        <f t="shared" si="28"/>
        <v>5.6772803687802128E-3</v>
      </c>
      <c r="M90" s="134">
        <f>Markaz!M90+Avenue!M90</f>
        <v>1547</v>
      </c>
      <c r="N90" s="49">
        <f t="shared" si="29"/>
        <v>4.0037629409701708E-3</v>
      </c>
      <c r="O90" s="134">
        <f>Markaz!O90+Avenue!O90</f>
        <v>1547</v>
      </c>
      <c r="P90" s="49">
        <f t="shared" si="30"/>
        <v>6.3239557286484836E-3</v>
      </c>
      <c r="Q90" s="134">
        <f>Markaz!Q90+Avenue!Q90</f>
        <v>1547</v>
      </c>
      <c r="R90" s="49">
        <f t="shared" si="31"/>
        <v>5.0928218652079868E-3</v>
      </c>
      <c r="S90" s="134">
        <f>Markaz!S90+Avenue!S90</f>
        <v>1547</v>
      </c>
      <c r="T90" s="49">
        <f t="shared" si="32"/>
        <v>5.0555158197508098E-3</v>
      </c>
      <c r="U90" s="134">
        <f>Markaz!U90+Avenue!U90</f>
        <v>1547</v>
      </c>
      <c r="V90" s="49">
        <f t="shared" si="33"/>
        <v>6.3735176567816399E-3</v>
      </c>
      <c r="W90" s="134">
        <f>Markaz!W90+Avenue!W90</f>
        <v>1547</v>
      </c>
      <c r="X90" s="49">
        <f t="shared" si="34"/>
        <v>6.2642593929125344E-3</v>
      </c>
      <c r="Y90" s="134">
        <f>Markaz!Y90+Avenue!Y90</f>
        <v>1547</v>
      </c>
      <c r="Z90" s="168">
        <f t="shared" si="35"/>
        <v>4.1466941291101152E-3</v>
      </c>
      <c r="AA90" s="275">
        <f t="shared" si="36"/>
        <v>18564</v>
      </c>
      <c r="AB90" s="203">
        <f t="shared" si="37"/>
        <v>5.3402861148733943E-3</v>
      </c>
      <c r="AC90" s="196">
        <f t="shared" si="38"/>
        <v>1547</v>
      </c>
      <c r="AD90" s="203">
        <f t="shared" si="39"/>
        <v>5.3402861148733943E-3</v>
      </c>
      <c r="AE90" s="75"/>
      <c r="AF90" s="158"/>
      <c r="AG90" s="75"/>
      <c r="AH90" s="196">
        <v>8819.9520000000011</v>
      </c>
      <c r="AI90" s="244">
        <f>AH90/AH12</f>
        <v>1.0953330547794318E-2</v>
      </c>
      <c r="AJ90" s="282">
        <f t="shared" si="41"/>
        <v>28930.952000000001</v>
      </c>
      <c r="AK90" s="53">
        <f t="shared" si="42"/>
        <v>0</v>
      </c>
      <c r="AL90" s="53">
        <f t="shared" si="43"/>
        <v>18564</v>
      </c>
      <c r="AM90" s="53">
        <f t="shared" si="44"/>
        <v>145418</v>
      </c>
      <c r="AN90" s="53" t="e">
        <f>#REF!-AM90</f>
        <v>#REF!</v>
      </c>
      <c r="AO90" s="53"/>
    </row>
    <row r="91" spans="1:41">
      <c r="A91" s="2">
        <v>6215</v>
      </c>
      <c r="B91" s="108" t="s">
        <v>209</v>
      </c>
      <c r="C91" s="130">
        <f>Markaz!C91+Avenue!C91</f>
        <v>941.2962962962963</v>
      </c>
      <c r="D91" s="49">
        <f t="shared" si="24"/>
        <v>3.6002692363922301E-3</v>
      </c>
      <c r="E91" s="130">
        <f>Markaz!E91+Avenue!E91</f>
        <v>941.2962962962963</v>
      </c>
      <c r="F91" s="49">
        <f t="shared" si="25"/>
        <v>4.6275862300381764E-3</v>
      </c>
      <c r="G91" s="130">
        <f>Markaz!G91+Avenue!G91</f>
        <v>941.2962962962963</v>
      </c>
      <c r="H91" s="49">
        <f t="shared" si="26"/>
        <v>2.7897568145973544E-3</v>
      </c>
      <c r="I91" s="130">
        <f>Markaz!I91+Avenue!I91</f>
        <v>941.2962962962963</v>
      </c>
      <c r="J91" s="49">
        <f t="shared" si="27"/>
        <v>3.1594280282089228E-3</v>
      </c>
      <c r="K91" s="130">
        <f>Markaz!K91+Avenue!K91</f>
        <v>941.2962962962963</v>
      </c>
      <c r="L91" s="49">
        <f t="shared" si="28"/>
        <v>3.4544298540197063E-3</v>
      </c>
      <c r="M91" s="130">
        <f>Markaz!M91+Avenue!M91</f>
        <v>941.2962962962963</v>
      </c>
      <c r="N91" s="49">
        <f t="shared" si="29"/>
        <v>2.4361520540294693E-3</v>
      </c>
      <c r="O91" s="130">
        <f>Markaz!O91+Avenue!O91</f>
        <v>941.2962962962963</v>
      </c>
      <c r="P91" s="49">
        <f t="shared" si="30"/>
        <v>3.8479095703416698E-3</v>
      </c>
      <c r="Q91" s="130">
        <f>Markaz!Q91+Avenue!Q91</f>
        <v>941.2962962962963</v>
      </c>
      <c r="R91" s="49">
        <f t="shared" si="31"/>
        <v>3.0988069550207326E-3</v>
      </c>
      <c r="S91" s="130">
        <f>Markaz!S91+Avenue!S91</f>
        <v>941.2962962962963</v>
      </c>
      <c r="T91" s="49">
        <f t="shared" si="32"/>
        <v>3.0761075093721857E-3</v>
      </c>
      <c r="U91" s="130">
        <f>Markaz!U91+Avenue!U91</f>
        <v>941.2962962962963</v>
      </c>
      <c r="V91" s="49">
        <f t="shared" si="33"/>
        <v>3.8780662990999396E-3</v>
      </c>
      <c r="W91" s="130">
        <f>Markaz!W91+Avenue!W91</f>
        <v>941.2962962962963</v>
      </c>
      <c r="X91" s="49">
        <f t="shared" si="34"/>
        <v>3.8115864030949282E-3</v>
      </c>
      <c r="Y91" s="130">
        <f>Markaz!Y91+Avenue!Y91</f>
        <v>941.2962962962963</v>
      </c>
      <c r="Z91" s="168">
        <f t="shared" si="35"/>
        <v>2.5231207663897527E-3</v>
      </c>
      <c r="AA91" s="275">
        <f t="shared" si="36"/>
        <v>11295.555555555555</v>
      </c>
      <c r="AB91" s="203">
        <f t="shared" si="37"/>
        <v>3.2493804402668799E-3</v>
      </c>
      <c r="AC91" s="194">
        <f t="shared" si="38"/>
        <v>941.29629629629619</v>
      </c>
      <c r="AD91" s="203">
        <f t="shared" si="39"/>
        <v>3.2493804402668799E-3</v>
      </c>
      <c r="AE91" s="75"/>
      <c r="AF91" s="158"/>
      <c r="AG91" s="75"/>
      <c r="AH91" s="194">
        <v>3581.308</v>
      </c>
      <c r="AI91" s="244">
        <f>AH91/AH12</f>
        <v>4.4475582539973196E-3</v>
      </c>
      <c r="AJ91" s="282">
        <f t="shared" si="41"/>
        <v>15818.159851851851</v>
      </c>
      <c r="AK91" s="53">
        <f t="shared" si="42"/>
        <v>0</v>
      </c>
      <c r="AL91" s="53">
        <f t="shared" si="43"/>
        <v>11295.555555555555</v>
      </c>
      <c r="AM91" s="53">
        <f t="shared" si="44"/>
        <v>88481.851851851839</v>
      </c>
      <c r="AN91" s="53" t="e">
        <f>#REF!-AM91</f>
        <v>#REF!</v>
      </c>
      <c r="AO91" s="53"/>
    </row>
    <row r="92" spans="1:41">
      <c r="A92" s="2">
        <v>6216</v>
      </c>
      <c r="B92" s="108" t="s">
        <v>111</v>
      </c>
      <c r="C92" s="130">
        <f>Markaz!C92+Avenue!C92</f>
        <v>0</v>
      </c>
      <c r="D92" s="49">
        <f t="shared" si="24"/>
        <v>0</v>
      </c>
      <c r="E92" s="130">
        <f>Markaz!E92+Avenue!E92</f>
        <v>0</v>
      </c>
      <c r="F92" s="49">
        <f t="shared" si="25"/>
        <v>0</v>
      </c>
      <c r="G92" s="130">
        <f>Markaz!G92+Avenue!G92</f>
        <v>0</v>
      </c>
      <c r="H92" s="49">
        <f t="shared" si="26"/>
        <v>0</v>
      </c>
      <c r="I92" s="130">
        <f>Markaz!I92+Avenue!I92</f>
        <v>0</v>
      </c>
      <c r="J92" s="49">
        <f t="shared" si="27"/>
        <v>0</v>
      </c>
      <c r="K92" s="130">
        <f>Markaz!K92+Avenue!K92</f>
        <v>0</v>
      </c>
      <c r="L92" s="49">
        <f t="shared" si="28"/>
        <v>0</v>
      </c>
      <c r="M92" s="130">
        <f>Markaz!M92+Avenue!M92</f>
        <v>0</v>
      </c>
      <c r="N92" s="49">
        <f t="shared" si="29"/>
        <v>0</v>
      </c>
      <c r="O92" s="130">
        <f>Markaz!O92+Avenue!O92</f>
        <v>0</v>
      </c>
      <c r="P92" s="49">
        <f t="shared" si="30"/>
        <v>0</v>
      </c>
      <c r="Q92" s="130">
        <f>Markaz!Q92+Avenue!Q92</f>
        <v>0</v>
      </c>
      <c r="R92" s="49">
        <f t="shared" si="31"/>
        <v>0</v>
      </c>
      <c r="S92" s="130">
        <f>Markaz!S92+Avenue!S92</f>
        <v>0</v>
      </c>
      <c r="T92" s="49">
        <f t="shared" si="32"/>
        <v>0</v>
      </c>
      <c r="U92" s="130">
        <f>Markaz!U92+Avenue!U92</f>
        <v>0</v>
      </c>
      <c r="V92" s="49">
        <f t="shared" si="33"/>
        <v>0</v>
      </c>
      <c r="W92" s="130">
        <f>Markaz!W92+Avenue!W92</f>
        <v>0</v>
      </c>
      <c r="X92" s="49">
        <f t="shared" si="34"/>
        <v>0</v>
      </c>
      <c r="Y92" s="130">
        <f>Markaz!Y92+Avenue!Y92</f>
        <v>0</v>
      </c>
      <c r="Z92" s="168">
        <f t="shared" si="35"/>
        <v>0</v>
      </c>
      <c r="AA92" s="275">
        <f t="shared" si="36"/>
        <v>0</v>
      </c>
      <c r="AB92" s="203">
        <f t="shared" si="37"/>
        <v>0</v>
      </c>
      <c r="AC92" s="194">
        <f t="shared" si="38"/>
        <v>0</v>
      </c>
      <c r="AD92" s="203">
        <f t="shared" si="39"/>
        <v>0</v>
      </c>
      <c r="AE92" s="75"/>
      <c r="AF92" s="158"/>
      <c r="AG92" s="75"/>
      <c r="AH92" s="194">
        <v>0</v>
      </c>
      <c r="AI92" s="244">
        <f>AH92/AH12</f>
        <v>0</v>
      </c>
      <c r="AJ92" s="282">
        <f t="shared" si="41"/>
        <v>0</v>
      </c>
      <c r="AK92" s="53">
        <f t="shared" si="42"/>
        <v>0</v>
      </c>
      <c r="AL92" s="53">
        <f t="shared" si="43"/>
        <v>0</v>
      </c>
      <c r="AM92" s="53">
        <f t="shared" si="44"/>
        <v>0</v>
      </c>
      <c r="AN92" s="53" t="e">
        <f>#REF!-AM92</f>
        <v>#REF!</v>
      </c>
      <c r="AO92" s="53"/>
    </row>
    <row r="93" spans="1:41" ht="15.75" thickBot="1">
      <c r="A93" s="4">
        <v>6299</v>
      </c>
      <c r="B93" s="109" t="s">
        <v>100</v>
      </c>
      <c r="C93" s="29">
        <f>Markaz!C93+Avenue!C93</f>
        <v>28088.321572079702</v>
      </c>
      <c r="D93" s="66">
        <f t="shared" si="24"/>
        <v>0.10743218735242854</v>
      </c>
      <c r="E93" s="29">
        <f>Markaz!E93+Avenue!E93</f>
        <v>28088.321572079702</v>
      </c>
      <c r="F93" s="66">
        <f t="shared" si="25"/>
        <v>0.13808737019711539</v>
      </c>
      <c r="G93" s="29">
        <f>Markaz!G93+Avenue!G93</f>
        <v>28088.321572079702</v>
      </c>
      <c r="H93" s="66">
        <f t="shared" si="26"/>
        <v>8.3246462165666057E-2</v>
      </c>
      <c r="I93" s="29">
        <f>Markaz!I93+Avenue!I93</f>
        <v>28088.321572079702</v>
      </c>
      <c r="J93" s="66">
        <f t="shared" si="27"/>
        <v>9.4277466924442097E-2</v>
      </c>
      <c r="K93" s="29">
        <f>Markaz!K93+Avenue!K93</f>
        <v>28088.321572079702</v>
      </c>
      <c r="L93" s="66">
        <f t="shared" si="28"/>
        <v>0.10308033397101091</v>
      </c>
      <c r="M93" s="29">
        <f>Markaz!M93+Avenue!M93</f>
        <v>28088.321572079702</v>
      </c>
      <c r="N93" s="66">
        <f t="shared" si="29"/>
        <v>7.2694881049997245E-2</v>
      </c>
      <c r="O93" s="29">
        <f>Markaz!O93+Avenue!O93</f>
        <v>28088.321572079702</v>
      </c>
      <c r="P93" s="66">
        <f t="shared" si="30"/>
        <v>0.11482178546468921</v>
      </c>
      <c r="Q93" s="29">
        <f>Markaz!Q93+Avenue!Q93</f>
        <v>28088.321572079702</v>
      </c>
      <c r="R93" s="66">
        <f t="shared" si="31"/>
        <v>9.2468531518604194E-2</v>
      </c>
      <c r="S93" s="29">
        <f>Markaz!S93+Avenue!S93</f>
        <v>28088.321572079702</v>
      </c>
      <c r="T93" s="66">
        <f t="shared" si="32"/>
        <v>9.1791179093663133E-2</v>
      </c>
      <c r="U93" s="29">
        <f>Markaz!U93+Avenue!U93</f>
        <v>28088.321572079702</v>
      </c>
      <c r="V93" s="66">
        <f t="shared" si="33"/>
        <v>0.11572166353523633</v>
      </c>
      <c r="W93" s="29">
        <f>Markaz!W93+Avenue!W93</f>
        <v>28088.321572079702</v>
      </c>
      <c r="X93" s="66">
        <f t="shared" si="34"/>
        <v>0.1137379006070123</v>
      </c>
      <c r="Y93" s="29">
        <f>Markaz!Y93+Avenue!Y93</f>
        <v>28088.321572079702</v>
      </c>
      <c r="Z93" s="213">
        <f t="shared" si="35"/>
        <v>7.5290031130898452E-2</v>
      </c>
      <c r="AA93" s="200">
        <f t="shared" si="36"/>
        <v>337059.85886495642</v>
      </c>
      <c r="AB93" s="234">
        <f t="shared" si="37"/>
        <v>9.6961650731400159E-2</v>
      </c>
      <c r="AC93" s="199">
        <f t="shared" si="38"/>
        <v>28088.321572079702</v>
      </c>
      <c r="AD93" s="234">
        <f t="shared" si="39"/>
        <v>9.6961650731400173E-2</v>
      </c>
      <c r="AE93" s="75"/>
      <c r="AF93" s="237"/>
      <c r="AG93" s="75" t="s">
        <v>171</v>
      </c>
      <c r="AH93" s="199">
        <f>SUM(AH77:AH92)</f>
        <v>150259.742</v>
      </c>
      <c r="AI93" s="248">
        <f>AH93/AH12</f>
        <v>0.18660471419258207</v>
      </c>
      <c r="AJ93" s="286">
        <f t="shared" si="41"/>
        <v>515407.92243703606</v>
      </c>
      <c r="AK93" s="53">
        <f t="shared" si="42"/>
        <v>0</v>
      </c>
      <c r="AL93" s="53">
        <f t="shared" si="43"/>
        <v>337059.85886495642</v>
      </c>
      <c r="AM93" s="53">
        <f t="shared" si="44"/>
        <v>2640302.2277754918</v>
      </c>
      <c r="AN93" s="53" t="e">
        <f>#REF!-AM93</f>
        <v>#REF!</v>
      </c>
      <c r="AO93" s="53"/>
    </row>
    <row r="94" spans="1:41" ht="15.75" thickTop="1">
      <c r="A94" s="98">
        <v>6301</v>
      </c>
      <c r="B94" s="111" t="s">
        <v>37</v>
      </c>
      <c r="C94" s="167">
        <f>Markaz!C94+Avenue!C94</f>
        <v>0</v>
      </c>
      <c r="D94" s="168">
        <f t="shared" si="24"/>
        <v>0</v>
      </c>
      <c r="E94" s="167">
        <f>Markaz!E94+Avenue!E94</f>
        <v>0</v>
      </c>
      <c r="F94" s="168">
        <f t="shared" si="25"/>
        <v>0</v>
      </c>
      <c r="G94" s="167">
        <f>Markaz!G94+Avenue!G94</f>
        <v>0</v>
      </c>
      <c r="H94" s="168">
        <f t="shared" si="26"/>
        <v>0</v>
      </c>
      <c r="I94" s="167">
        <f>Markaz!I94+Avenue!I94</f>
        <v>0</v>
      </c>
      <c r="J94" s="168">
        <f t="shared" si="27"/>
        <v>0</v>
      </c>
      <c r="K94" s="167">
        <f>Markaz!K94+Avenue!K94</f>
        <v>0</v>
      </c>
      <c r="L94" s="168">
        <f t="shared" si="28"/>
        <v>0</v>
      </c>
      <c r="M94" s="167">
        <f>Markaz!M94+Avenue!M94</f>
        <v>0</v>
      </c>
      <c r="N94" s="168">
        <f t="shared" si="29"/>
        <v>0</v>
      </c>
      <c r="O94" s="167">
        <f>Markaz!O94+Avenue!O94</f>
        <v>0</v>
      </c>
      <c r="P94" s="168">
        <f t="shared" si="30"/>
        <v>0</v>
      </c>
      <c r="Q94" s="167">
        <f>Markaz!Q94+Avenue!Q94</f>
        <v>0</v>
      </c>
      <c r="R94" s="168">
        <f t="shared" si="31"/>
        <v>0</v>
      </c>
      <c r="S94" s="167">
        <f>Markaz!S94+Avenue!S94</f>
        <v>0</v>
      </c>
      <c r="T94" s="168">
        <f t="shared" si="32"/>
        <v>0</v>
      </c>
      <c r="U94" s="167">
        <f>Markaz!U94+Avenue!U94</f>
        <v>0</v>
      </c>
      <c r="V94" s="168">
        <f t="shared" si="33"/>
        <v>0</v>
      </c>
      <c r="W94" s="167">
        <f>Markaz!W94+Avenue!W94</f>
        <v>0</v>
      </c>
      <c r="X94" s="168">
        <f t="shared" si="34"/>
        <v>0</v>
      </c>
      <c r="Y94" s="167">
        <f>Markaz!Y94+Avenue!Y94</f>
        <v>0</v>
      </c>
      <c r="Z94" s="180">
        <f t="shared" si="35"/>
        <v>0</v>
      </c>
      <c r="AA94" s="275">
        <f t="shared" si="36"/>
        <v>0</v>
      </c>
      <c r="AB94" s="203">
        <f t="shared" si="37"/>
        <v>0</v>
      </c>
      <c r="AC94" s="198">
        <f t="shared" si="38"/>
        <v>0</v>
      </c>
      <c r="AD94" s="203">
        <f t="shared" si="39"/>
        <v>0</v>
      </c>
      <c r="AE94" s="75"/>
      <c r="AF94" s="158"/>
      <c r="AG94" s="75"/>
      <c r="AH94" s="198"/>
      <c r="AI94" s="244">
        <f>AH94/AH12</f>
        <v>0</v>
      </c>
      <c r="AJ94" s="282">
        <f t="shared" si="41"/>
        <v>0</v>
      </c>
      <c r="AK94" s="53">
        <f t="shared" si="42"/>
        <v>0</v>
      </c>
      <c r="AL94" s="53">
        <f t="shared" si="43"/>
        <v>0</v>
      </c>
      <c r="AM94" s="53">
        <f t="shared" si="44"/>
        <v>0</v>
      </c>
      <c r="AN94" s="53" t="e">
        <f>#REF!-AM94</f>
        <v>#REF!</v>
      </c>
      <c r="AO94" s="53"/>
    </row>
    <row r="95" spans="1:41">
      <c r="A95" s="98">
        <v>6302</v>
      </c>
      <c r="B95" s="111" t="s">
        <v>38</v>
      </c>
      <c r="C95" s="167">
        <f>Markaz!C95+Avenue!C95</f>
        <v>0</v>
      </c>
      <c r="D95" s="168">
        <f t="shared" si="24"/>
        <v>0</v>
      </c>
      <c r="E95" s="167">
        <f>Markaz!E95+Avenue!E95</f>
        <v>0</v>
      </c>
      <c r="F95" s="168">
        <f t="shared" si="25"/>
        <v>0</v>
      </c>
      <c r="G95" s="167">
        <f>Markaz!G95+Avenue!G95</f>
        <v>0</v>
      </c>
      <c r="H95" s="168">
        <f t="shared" si="26"/>
        <v>0</v>
      </c>
      <c r="I95" s="167">
        <f>Markaz!I95+Avenue!I95</f>
        <v>0</v>
      </c>
      <c r="J95" s="168">
        <f t="shared" si="27"/>
        <v>0</v>
      </c>
      <c r="K95" s="167">
        <f>Markaz!K95+Avenue!K95</f>
        <v>0</v>
      </c>
      <c r="L95" s="168">
        <f t="shared" si="28"/>
        <v>0</v>
      </c>
      <c r="M95" s="167">
        <f>Markaz!M95+Avenue!M95</f>
        <v>0</v>
      </c>
      <c r="N95" s="168">
        <f t="shared" si="29"/>
        <v>0</v>
      </c>
      <c r="O95" s="167">
        <f>Markaz!O95+Avenue!O95</f>
        <v>0</v>
      </c>
      <c r="P95" s="168">
        <f t="shared" si="30"/>
        <v>0</v>
      </c>
      <c r="Q95" s="167">
        <f>Markaz!Q95+Avenue!Q95</f>
        <v>0</v>
      </c>
      <c r="R95" s="168">
        <f t="shared" si="31"/>
        <v>0</v>
      </c>
      <c r="S95" s="167">
        <f>Markaz!S95+Avenue!S95</f>
        <v>0</v>
      </c>
      <c r="T95" s="168">
        <f t="shared" si="32"/>
        <v>0</v>
      </c>
      <c r="U95" s="167">
        <f>Markaz!U95+Avenue!U95</f>
        <v>0</v>
      </c>
      <c r="V95" s="168">
        <f t="shared" si="33"/>
        <v>0</v>
      </c>
      <c r="W95" s="167">
        <f>Markaz!W95+Avenue!W95</f>
        <v>0</v>
      </c>
      <c r="X95" s="168">
        <f t="shared" si="34"/>
        <v>0</v>
      </c>
      <c r="Y95" s="167">
        <f>Markaz!Y95+Avenue!Y95</f>
        <v>0</v>
      </c>
      <c r="Z95" s="168">
        <f t="shared" si="35"/>
        <v>0</v>
      </c>
      <c r="AA95" s="275">
        <f t="shared" si="36"/>
        <v>0</v>
      </c>
      <c r="AB95" s="203">
        <f t="shared" si="37"/>
        <v>0</v>
      </c>
      <c r="AC95" s="198">
        <f t="shared" si="38"/>
        <v>0</v>
      </c>
      <c r="AD95" s="203">
        <f t="shared" si="39"/>
        <v>0</v>
      </c>
      <c r="AE95" s="75"/>
      <c r="AF95" s="158"/>
      <c r="AG95" s="75"/>
      <c r="AH95" s="198"/>
      <c r="AI95" s="244">
        <f>AH95/AH12</f>
        <v>0</v>
      </c>
      <c r="AJ95" s="282">
        <f t="shared" si="41"/>
        <v>0</v>
      </c>
      <c r="AK95" s="53">
        <f t="shared" si="42"/>
        <v>0</v>
      </c>
      <c r="AL95" s="53">
        <f t="shared" si="43"/>
        <v>0</v>
      </c>
      <c r="AM95" s="53">
        <f t="shared" si="44"/>
        <v>0</v>
      </c>
      <c r="AN95" s="53" t="e">
        <f>#REF!-AM95</f>
        <v>#REF!</v>
      </c>
      <c r="AO95" s="53"/>
    </row>
    <row r="96" spans="1:41">
      <c r="A96" s="98">
        <v>6303</v>
      </c>
      <c r="B96" s="2" t="s">
        <v>112</v>
      </c>
      <c r="C96" s="167">
        <f>Markaz!C96+Avenue!C96</f>
        <v>4250</v>
      </c>
      <c r="D96" s="168">
        <f t="shared" si="24"/>
        <v>1.6255396217824451E-2</v>
      </c>
      <c r="E96" s="167">
        <f>Markaz!E96+Avenue!E96</f>
        <v>0</v>
      </c>
      <c r="F96" s="168">
        <f t="shared" si="25"/>
        <v>0</v>
      </c>
      <c r="G96" s="167">
        <f>Markaz!G96+Avenue!G96</f>
        <v>0</v>
      </c>
      <c r="H96" s="168">
        <f t="shared" si="26"/>
        <v>0</v>
      </c>
      <c r="I96" s="167">
        <f>Markaz!I96+Avenue!I96</f>
        <v>0</v>
      </c>
      <c r="J96" s="168">
        <f t="shared" si="27"/>
        <v>0</v>
      </c>
      <c r="K96" s="167">
        <f>Markaz!K96+Avenue!K96</f>
        <v>0</v>
      </c>
      <c r="L96" s="168">
        <f t="shared" si="28"/>
        <v>0</v>
      </c>
      <c r="M96" s="167">
        <f>Markaz!M96+Avenue!M96</f>
        <v>0</v>
      </c>
      <c r="N96" s="168">
        <f t="shared" si="29"/>
        <v>0</v>
      </c>
      <c r="O96" s="167">
        <f>Markaz!O96+Avenue!O96</f>
        <v>0</v>
      </c>
      <c r="P96" s="168">
        <f t="shared" si="30"/>
        <v>0</v>
      </c>
      <c r="Q96" s="167">
        <f>Markaz!Q96+Avenue!Q96</f>
        <v>0</v>
      </c>
      <c r="R96" s="168">
        <f t="shared" si="31"/>
        <v>0</v>
      </c>
      <c r="S96" s="167">
        <f>Markaz!S96+Avenue!S96</f>
        <v>0</v>
      </c>
      <c r="T96" s="168">
        <f t="shared" si="32"/>
        <v>0</v>
      </c>
      <c r="U96" s="167">
        <f>Markaz!U96+Avenue!U96</f>
        <v>0</v>
      </c>
      <c r="V96" s="168">
        <f t="shared" si="33"/>
        <v>0</v>
      </c>
      <c r="W96" s="167">
        <f>Markaz!W96+Avenue!W96</f>
        <v>0</v>
      </c>
      <c r="X96" s="168">
        <f t="shared" si="34"/>
        <v>0</v>
      </c>
      <c r="Y96" s="167">
        <f>Markaz!Y96+Avenue!Y96</f>
        <v>0</v>
      </c>
      <c r="Z96" s="168">
        <f t="shared" si="35"/>
        <v>0</v>
      </c>
      <c r="AA96" s="275">
        <f t="shared" si="36"/>
        <v>4250</v>
      </c>
      <c r="AB96" s="203">
        <f t="shared" si="37"/>
        <v>1.2225929750168027E-3</v>
      </c>
      <c r="AC96" s="198">
        <f t="shared" si="38"/>
        <v>354.16666666666669</v>
      </c>
      <c r="AD96" s="203">
        <f t="shared" si="39"/>
        <v>1.2225929750168027E-3</v>
      </c>
      <c r="AE96" s="75"/>
      <c r="AF96" s="158"/>
      <c r="AG96" s="75"/>
      <c r="AH96" s="198"/>
      <c r="AI96" s="244">
        <f>AH96/AH12</f>
        <v>0</v>
      </c>
      <c r="AJ96" s="282">
        <f t="shared" si="41"/>
        <v>4604.166666666667</v>
      </c>
      <c r="AK96" s="53">
        <f t="shared" si="42"/>
        <v>0</v>
      </c>
      <c r="AL96" s="53">
        <f t="shared" si="43"/>
        <v>4250</v>
      </c>
      <c r="AM96" s="53">
        <f t="shared" si="44"/>
        <v>0</v>
      </c>
      <c r="AN96" s="53" t="e">
        <f>#REF!-AM96</f>
        <v>#REF!</v>
      </c>
      <c r="AO96" s="53"/>
    </row>
    <row r="97" spans="1:41">
      <c r="A97" s="98">
        <v>6304</v>
      </c>
      <c r="B97" s="2" t="s">
        <v>39</v>
      </c>
      <c r="C97" s="167">
        <f>Markaz!C97+Avenue!C97</f>
        <v>0</v>
      </c>
      <c r="D97" s="168">
        <f t="shared" si="24"/>
        <v>0</v>
      </c>
      <c r="E97" s="167">
        <f>Markaz!E97+Avenue!E97</f>
        <v>0</v>
      </c>
      <c r="F97" s="168">
        <f t="shared" si="25"/>
        <v>0</v>
      </c>
      <c r="G97" s="167">
        <f>Markaz!G97+Avenue!G97</f>
        <v>0</v>
      </c>
      <c r="H97" s="168">
        <f t="shared" si="26"/>
        <v>0</v>
      </c>
      <c r="I97" s="167">
        <f>Markaz!I97+Avenue!I97</f>
        <v>0</v>
      </c>
      <c r="J97" s="168">
        <f t="shared" si="27"/>
        <v>0</v>
      </c>
      <c r="K97" s="167">
        <f>Markaz!K97+Avenue!K97</f>
        <v>0</v>
      </c>
      <c r="L97" s="168">
        <f t="shared" si="28"/>
        <v>0</v>
      </c>
      <c r="M97" s="167">
        <f>Markaz!M97+Avenue!M97</f>
        <v>0</v>
      </c>
      <c r="N97" s="168">
        <f t="shared" si="29"/>
        <v>0</v>
      </c>
      <c r="O97" s="167">
        <f>Markaz!O97+Avenue!O97</f>
        <v>0</v>
      </c>
      <c r="P97" s="168">
        <f t="shared" si="30"/>
        <v>0</v>
      </c>
      <c r="Q97" s="167">
        <f>Markaz!Q97+Avenue!Q97</f>
        <v>0</v>
      </c>
      <c r="R97" s="168">
        <f t="shared" si="31"/>
        <v>0</v>
      </c>
      <c r="S97" s="167">
        <f>Markaz!S97+Avenue!S97</f>
        <v>0</v>
      </c>
      <c r="T97" s="168">
        <f t="shared" si="32"/>
        <v>0</v>
      </c>
      <c r="U97" s="167">
        <f>Markaz!U97+Avenue!U97</f>
        <v>0</v>
      </c>
      <c r="V97" s="168">
        <f t="shared" si="33"/>
        <v>0</v>
      </c>
      <c r="W97" s="167">
        <f>Markaz!W97+Avenue!W97</f>
        <v>0</v>
      </c>
      <c r="X97" s="168">
        <f t="shared" si="34"/>
        <v>0</v>
      </c>
      <c r="Y97" s="167">
        <f>Markaz!Y97+Avenue!Y97</f>
        <v>0</v>
      </c>
      <c r="Z97" s="168">
        <f t="shared" si="35"/>
        <v>0</v>
      </c>
      <c r="AA97" s="275">
        <f t="shared" si="36"/>
        <v>0</v>
      </c>
      <c r="AB97" s="203">
        <f t="shared" si="37"/>
        <v>0</v>
      </c>
      <c r="AC97" s="198">
        <f t="shared" si="38"/>
        <v>0</v>
      </c>
      <c r="AD97" s="203">
        <f t="shared" si="39"/>
        <v>0</v>
      </c>
      <c r="AE97" s="75"/>
      <c r="AF97" s="158"/>
      <c r="AG97" s="75"/>
      <c r="AH97" s="198">
        <v>9593.5680851063844</v>
      </c>
      <c r="AI97" s="244">
        <f>AH97/AH12</f>
        <v>1.1914069642208982E-2</v>
      </c>
      <c r="AJ97" s="282">
        <f t="shared" si="41"/>
        <v>9593.5680851063844</v>
      </c>
      <c r="AK97" s="53">
        <f t="shared" si="42"/>
        <v>0</v>
      </c>
      <c r="AL97" s="53">
        <f t="shared" si="43"/>
        <v>0</v>
      </c>
      <c r="AM97" s="53">
        <f t="shared" si="44"/>
        <v>0</v>
      </c>
      <c r="AN97" s="53" t="e">
        <f>#REF!-AM97</f>
        <v>#REF!</v>
      </c>
      <c r="AO97" s="53"/>
    </row>
    <row r="98" spans="1:41">
      <c r="A98" s="98">
        <v>6305</v>
      </c>
      <c r="B98" s="2" t="s">
        <v>40</v>
      </c>
      <c r="C98" s="167">
        <f>Markaz!C98+Avenue!C98</f>
        <v>0</v>
      </c>
      <c r="D98" s="521">
        <f t="shared" si="24"/>
        <v>0</v>
      </c>
      <c r="E98" s="167">
        <f>Markaz!E98+Avenue!E98</f>
        <v>0</v>
      </c>
      <c r="F98" s="521">
        <f t="shared" si="25"/>
        <v>0</v>
      </c>
      <c r="G98" s="167">
        <f>Markaz!G98+Avenue!G98</f>
        <v>0</v>
      </c>
      <c r="H98" s="521">
        <f t="shared" si="26"/>
        <v>0</v>
      </c>
      <c r="I98" s="167">
        <f>Markaz!I98+Avenue!I98</f>
        <v>0</v>
      </c>
      <c r="J98" s="521">
        <f t="shared" si="27"/>
        <v>0</v>
      </c>
      <c r="K98" s="167">
        <f>Markaz!K98+Avenue!K98</f>
        <v>0</v>
      </c>
      <c r="L98" s="521">
        <f t="shared" si="28"/>
        <v>0</v>
      </c>
      <c r="M98" s="167">
        <f>Markaz!M98+Avenue!M98</f>
        <v>0</v>
      </c>
      <c r="N98" s="521">
        <f t="shared" si="29"/>
        <v>0</v>
      </c>
      <c r="O98" s="167">
        <f>Markaz!O98+Avenue!O98</f>
        <v>0</v>
      </c>
      <c r="P98" s="521">
        <f t="shared" si="30"/>
        <v>0</v>
      </c>
      <c r="Q98" s="167">
        <f>Markaz!Q98+Avenue!Q98</f>
        <v>0</v>
      </c>
      <c r="R98" s="168">
        <f t="shared" si="31"/>
        <v>0</v>
      </c>
      <c r="S98" s="167">
        <f>Markaz!S98+Avenue!S98</f>
        <v>0</v>
      </c>
      <c r="T98" s="168">
        <f t="shared" si="32"/>
        <v>0</v>
      </c>
      <c r="U98" s="167">
        <f>Markaz!U98+Avenue!U98</f>
        <v>0</v>
      </c>
      <c r="V98" s="168">
        <f t="shared" si="33"/>
        <v>0</v>
      </c>
      <c r="W98" s="167">
        <f>Markaz!W98+Avenue!W98</f>
        <v>0</v>
      </c>
      <c r="X98" s="168">
        <f t="shared" si="34"/>
        <v>0</v>
      </c>
      <c r="Y98" s="167">
        <f>Markaz!Y98+Avenue!Y98</f>
        <v>0</v>
      </c>
      <c r="Z98" s="168">
        <f t="shared" si="35"/>
        <v>0</v>
      </c>
      <c r="AA98" s="275">
        <f t="shared" si="36"/>
        <v>0</v>
      </c>
      <c r="AB98" s="203">
        <f t="shared" si="37"/>
        <v>0</v>
      </c>
      <c r="AC98" s="198">
        <f t="shared" si="38"/>
        <v>0</v>
      </c>
      <c r="AD98" s="203">
        <f t="shared" si="39"/>
        <v>0</v>
      </c>
      <c r="AE98" s="75"/>
      <c r="AF98" s="158"/>
      <c r="AG98" s="75"/>
      <c r="AH98" s="198">
        <v>2468.3266990881457</v>
      </c>
      <c r="AI98" s="244">
        <f>AH98/AH12</f>
        <v>3.0653679560907472E-3</v>
      </c>
      <c r="AJ98" s="282">
        <f t="shared" si="41"/>
        <v>2468.3266990881457</v>
      </c>
      <c r="AK98" s="53">
        <f t="shared" si="42"/>
        <v>0</v>
      </c>
      <c r="AL98" s="53">
        <f t="shared" si="43"/>
        <v>0</v>
      </c>
      <c r="AM98" s="53">
        <f t="shared" si="44"/>
        <v>0</v>
      </c>
      <c r="AN98" s="53" t="e">
        <f>#REF!-AM98</f>
        <v>#REF!</v>
      </c>
      <c r="AO98" s="53"/>
    </row>
    <row r="99" spans="1:41">
      <c r="A99" s="98">
        <v>6306</v>
      </c>
      <c r="B99" s="2" t="s">
        <v>41</v>
      </c>
      <c r="C99" s="167">
        <f>Markaz!C99+Avenue!C99</f>
        <v>0</v>
      </c>
      <c r="D99" s="521">
        <f t="shared" si="24"/>
        <v>0</v>
      </c>
      <c r="E99" s="167">
        <f>Markaz!E99+Avenue!E99</f>
        <v>0</v>
      </c>
      <c r="F99" s="521">
        <f t="shared" si="25"/>
        <v>0</v>
      </c>
      <c r="G99" s="167">
        <f>Markaz!G99+Avenue!G99</f>
        <v>0</v>
      </c>
      <c r="H99" s="521">
        <f t="shared" si="26"/>
        <v>0</v>
      </c>
      <c r="I99" s="167">
        <f>Markaz!I99+Avenue!I99</f>
        <v>0</v>
      </c>
      <c r="J99" s="521">
        <f t="shared" si="27"/>
        <v>0</v>
      </c>
      <c r="K99" s="167">
        <f>Markaz!K99+Avenue!K99</f>
        <v>0</v>
      </c>
      <c r="L99" s="521">
        <f t="shared" si="28"/>
        <v>0</v>
      </c>
      <c r="M99" s="167">
        <f>Markaz!M99+Avenue!M99</f>
        <v>0</v>
      </c>
      <c r="N99" s="521">
        <f t="shared" si="29"/>
        <v>0</v>
      </c>
      <c r="O99" s="167">
        <f>Markaz!O99+Avenue!O99</f>
        <v>0</v>
      </c>
      <c r="P99" s="521">
        <f t="shared" si="30"/>
        <v>0</v>
      </c>
      <c r="Q99" s="167">
        <f>Markaz!Q99+Avenue!Q99</f>
        <v>0</v>
      </c>
      <c r="R99" s="168">
        <f t="shared" si="31"/>
        <v>0</v>
      </c>
      <c r="S99" s="167">
        <f>Markaz!S99+Avenue!S99</f>
        <v>0</v>
      </c>
      <c r="T99" s="168">
        <f t="shared" si="32"/>
        <v>0</v>
      </c>
      <c r="U99" s="167">
        <f>Markaz!U99+Avenue!U99</f>
        <v>0</v>
      </c>
      <c r="V99" s="168">
        <f t="shared" si="33"/>
        <v>0</v>
      </c>
      <c r="W99" s="167">
        <f>Markaz!W99+Avenue!W99</f>
        <v>0</v>
      </c>
      <c r="X99" s="168">
        <f t="shared" si="34"/>
        <v>0</v>
      </c>
      <c r="Y99" s="167">
        <f>Markaz!Y99+Avenue!Y99</f>
        <v>0</v>
      </c>
      <c r="Z99" s="168">
        <f t="shared" si="35"/>
        <v>0</v>
      </c>
      <c r="AA99" s="275">
        <f t="shared" si="36"/>
        <v>0</v>
      </c>
      <c r="AB99" s="203">
        <f t="shared" si="37"/>
        <v>0</v>
      </c>
      <c r="AC99" s="198">
        <f t="shared" si="38"/>
        <v>0</v>
      </c>
      <c r="AD99" s="203">
        <f t="shared" si="39"/>
        <v>0</v>
      </c>
      <c r="AE99" s="75"/>
      <c r="AF99" s="158"/>
      <c r="AG99" s="75"/>
      <c r="AH99" s="198">
        <v>0</v>
      </c>
      <c r="AI99" s="244">
        <f>AH99/AH12</f>
        <v>0</v>
      </c>
      <c r="AJ99" s="282">
        <f t="shared" si="41"/>
        <v>0</v>
      </c>
      <c r="AK99" s="53">
        <f t="shared" si="42"/>
        <v>0</v>
      </c>
      <c r="AL99" s="53">
        <f t="shared" si="43"/>
        <v>0</v>
      </c>
      <c r="AM99" s="53">
        <f t="shared" si="44"/>
        <v>0</v>
      </c>
      <c r="AN99" s="53" t="e">
        <f>#REF!-AM99</f>
        <v>#REF!</v>
      </c>
      <c r="AO99" s="53"/>
    </row>
    <row r="100" spans="1:41" s="305" customFormat="1">
      <c r="A100" s="98">
        <v>6307</v>
      </c>
      <c r="B100" s="2" t="s">
        <v>257</v>
      </c>
      <c r="C100" s="167">
        <f>Markaz!C100+Avenue!C100</f>
        <v>0</v>
      </c>
      <c r="D100" s="521">
        <f t="shared" si="24"/>
        <v>0</v>
      </c>
      <c r="E100" s="167">
        <f>Markaz!E100+Avenue!E100</f>
        <v>132.97872340425531</v>
      </c>
      <c r="F100" s="521">
        <f t="shared" si="25"/>
        <v>6.537479343484893E-4</v>
      </c>
      <c r="G100" s="167">
        <f>Markaz!G100+Avenue!G100</f>
        <v>132.97872340425531</v>
      </c>
      <c r="H100" s="521">
        <f t="shared" si="26"/>
        <v>3.9411426696690555E-4</v>
      </c>
      <c r="I100" s="167">
        <f>Markaz!I100+Avenue!I100</f>
        <v>504.36170212765956</v>
      </c>
      <c r="J100" s="521">
        <f t="shared" si="27"/>
        <v>1.6928723764527546E-3</v>
      </c>
      <c r="K100" s="167">
        <f>Markaz!K100+Avenue!K100</f>
        <v>132.97872340425531</v>
      </c>
      <c r="L100" s="521">
        <f t="shared" si="28"/>
        <v>4.8801389518321432E-4</v>
      </c>
      <c r="M100" s="167">
        <f>Markaz!M100+Avenue!M100</f>
        <v>0</v>
      </c>
      <c r="N100" s="521">
        <f t="shared" si="29"/>
        <v>0</v>
      </c>
      <c r="O100" s="167">
        <f>Markaz!O100+Avenue!O100</f>
        <v>132.97872340425531</v>
      </c>
      <c r="P100" s="521">
        <f t="shared" si="30"/>
        <v>5.436015253139641E-4</v>
      </c>
      <c r="Q100" s="167">
        <f>Markaz!Q100+Avenue!Q100</f>
        <v>132.97872340425531</v>
      </c>
      <c r="R100" s="168">
        <f t="shared" si="31"/>
        <v>4.3777436985173657E-4</v>
      </c>
      <c r="S100" s="167">
        <f>Markaz!S100+Avenue!S100</f>
        <v>132.97872340425531</v>
      </c>
      <c r="T100" s="168">
        <f t="shared" si="32"/>
        <v>4.3456757586327082E-4</v>
      </c>
      <c r="U100" s="167">
        <f>Markaz!U100+Avenue!U100</f>
        <v>132.97872340425531</v>
      </c>
      <c r="V100" s="168">
        <f t="shared" si="33"/>
        <v>5.4786182391293025E-4</v>
      </c>
      <c r="W100" s="167">
        <f>Markaz!W100+Avenue!W100</f>
        <v>132.97872340425531</v>
      </c>
      <c r="X100" s="168">
        <f t="shared" si="34"/>
        <v>5.3847008218657025E-4</v>
      </c>
      <c r="Y100" s="167">
        <f>Markaz!Y100+Avenue!Y100</f>
        <v>132.97872340425531</v>
      </c>
      <c r="Z100" s="168">
        <f t="shared" si="35"/>
        <v>3.5644608379895498E-4</v>
      </c>
      <c r="AA100" s="510">
        <f t="shared" si="36"/>
        <v>1701.1702127659576</v>
      </c>
      <c r="AB100" s="168">
        <f t="shared" si="37"/>
        <v>4.8937382386717628E-4</v>
      </c>
      <c r="AC100" s="527">
        <f t="shared" si="38"/>
        <v>141.76418439716312</v>
      </c>
      <c r="AD100" s="168">
        <f t="shared" si="39"/>
        <v>4.8937382386717628E-4</v>
      </c>
      <c r="AE100" s="75"/>
      <c r="AF100" s="158"/>
      <c r="AG100" s="75"/>
      <c r="AH100" s="527"/>
      <c r="AI100" s="244"/>
      <c r="AJ100" s="282"/>
      <c r="AK100" s="53"/>
      <c r="AL100" s="53"/>
      <c r="AM100" s="53"/>
      <c r="AN100" s="53"/>
      <c r="AO100" s="53"/>
    </row>
    <row r="101" spans="1:41">
      <c r="A101" s="2">
        <v>6308</v>
      </c>
      <c r="B101" s="2" t="s">
        <v>125</v>
      </c>
      <c r="C101" s="167">
        <f>Markaz!C101+Avenue!C101</f>
        <v>0</v>
      </c>
      <c r="D101" s="521">
        <f t="shared" si="24"/>
        <v>0</v>
      </c>
      <c r="E101" s="167">
        <f>Markaz!E101+Avenue!E101</f>
        <v>0</v>
      </c>
      <c r="F101" s="521">
        <f t="shared" si="25"/>
        <v>0</v>
      </c>
      <c r="G101" s="167">
        <f>Markaz!G101+Avenue!G101</f>
        <v>0</v>
      </c>
      <c r="H101" s="521">
        <f t="shared" si="26"/>
        <v>0</v>
      </c>
      <c r="I101" s="167">
        <f>Markaz!I101+Avenue!I101</f>
        <v>0</v>
      </c>
      <c r="J101" s="521">
        <f t="shared" si="27"/>
        <v>0</v>
      </c>
      <c r="K101" s="167">
        <f>Markaz!K101+Avenue!K101</f>
        <v>0</v>
      </c>
      <c r="L101" s="521">
        <f t="shared" si="28"/>
        <v>0</v>
      </c>
      <c r="M101" s="167">
        <f>Markaz!M101+Avenue!M101</f>
        <v>0</v>
      </c>
      <c r="N101" s="521">
        <f t="shared" si="29"/>
        <v>0</v>
      </c>
      <c r="O101" s="167">
        <f>Markaz!O101+Avenue!O101</f>
        <v>0</v>
      </c>
      <c r="P101" s="521">
        <f t="shared" si="30"/>
        <v>0</v>
      </c>
      <c r="Q101" s="167">
        <f>Markaz!Q101+Avenue!Q101</f>
        <v>0</v>
      </c>
      <c r="R101" s="168">
        <f t="shared" si="31"/>
        <v>0</v>
      </c>
      <c r="S101" s="167">
        <f>Markaz!S101+Avenue!S101</f>
        <v>0</v>
      </c>
      <c r="T101" s="168">
        <f t="shared" si="32"/>
        <v>0</v>
      </c>
      <c r="U101" s="167">
        <f>Markaz!U101+Avenue!U101</f>
        <v>0</v>
      </c>
      <c r="V101" s="168">
        <f t="shared" si="33"/>
        <v>0</v>
      </c>
      <c r="W101" s="167">
        <f>Markaz!W101+Avenue!W101</f>
        <v>0</v>
      </c>
      <c r="X101" s="168">
        <f t="shared" si="34"/>
        <v>0</v>
      </c>
      <c r="Y101" s="167">
        <f>Markaz!Y101+Avenue!Y101</f>
        <v>0</v>
      </c>
      <c r="Z101" s="168">
        <f t="shared" si="35"/>
        <v>0</v>
      </c>
      <c r="AA101" s="275">
        <f t="shared" si="36"/>
        <v>0</v>
      </c>
      <c r="AB101" s="203">
        <f t="shared" si="37"/>
        <v>0</v>
      </c>
      <c r="AC101" s="198">
        <f t="shared" si="38"/>
        <v>0</v>
      </c>
      <c r="AD101" s="203">
        <f t="shared" si="39"/>
        <v>0</v>
      </c>
      <c r="AE101" s="75"/>
      <c r="AF101" s="158"/>
      <c r="AG101" s="75"/>
      <c r="AH101" s="198">
        <v>0</v>
      </c>
      <c r="AI101" s="244">
        <f>AH101/AH12</f>
        <v>0</v>
      </c>
      <c r="AJ101" s="282">
        <f t="shared" si="41"/>
        <v>0</v>
      </c>
      <c r="AK101" s="53">
        <f t="shared" si="42"/>
        <v>0</v>
      </c>
      <c r="AL101" s="53">
        <f t="shared" si="43"/>
        <v>0</v>
      </c>
      <c r="AM101" s="53">
        <f t="shared" si="44"/>
        <v>0</v>
      </c>
      <c r="AN101" s="53" t="e">
        <f>#REF!-AM101</f>
        <v>#REF!</v>
      </c>
      <c r="AO101" s="53"/>
    </row>
    <row r="102" spans="1:41">
      <c r="A102" s="2">
        <v>6309</v>
      </c>
      <c r="B102" s="2" t="s">
        <v>126</v>
      </c>
      <c r="C102" s="603">
        <f>Markaz!C102+Avenue!C102</f>
        <v>1405.5361941901597</v>
      </c>
      <c r="D102" s="521">
        <f t="shared" si="24"/>
        <v>5.37589358471861E-3</v>
      </c>
      <c r="E102" s="603">
        <f>Markaz!E102+Avenue!E102</f>
        <v>1475.8130038996676</v>
      </c>
      <c r="F102" s="521">
        <f t="shared" si="25"/>
        <v>7.2553689649360311E-3</v>
      </c>
      <c r="G102" s="603">
        <f>Markaz!G102+Avenue!G102</f>
        <v>774.80182704732556</v>
      </c>
      <c r="H102" s="521">
        <f t="shared" si="26"/>
        <v>2.2963106149175468E-3</v>
      </c>
      <c r="I102" s="603">
        <f>Markaz!I102+Avenue!I102</f>
        <v>813.54191839969189</v>
      </c>
      <c r="J102" s="521">
        <f t="shared" si="27"/>
        <v>2.7306249363014267E-3</v>
      </c>
      <c r="K102" s="603">
        <f>Markaz!K102+Avenue!K102</f>
        <v>1708.438028639353</v>
      </c>
      <c r="L102" s="521">
        <f t="shared" si="28"/>
        <v>6.2697360577063776E-3</v>
      </c>
      <c r="M102" s="603">
        <f>Markaz!M102+Avenue!M102</f>
        <v>896.92996503566042</v>
      </c>
      <c r="N102" s="521">
        <f t="shared" si="29"/>
        <v>2.3213283481935674E-3</v>
      </c>
      <c r="O102" s="603">
        <f>Markaz!O102+Avenue!O102</f>
        <v>941.77646328744345</v>
      </c>
      <c r="P102" s="521">
        <f t="shared" si="30"/>
        <v>3.8498724370477932E-3</v>
      </c>
      <c r="Q102" s="603">
        <f>Markaz!Q102+Avenue!Q102</f>
        <v>988.86528645181568</v>
      </c>
      <c r="R102" s="168">
        <f t="shared" si="31"/>
        <v>3.2554070798881487E-3</v>
      </c>
      <c r="S102" s="603">
        <f>Markaz!S102+Avenue!S102</f>
        <v>2076.617101548813</v>
      </c>
      <c r="T102" s="168">
        <f t="shared" si="32"/>
        <v>6.7862770578184213E-3</v>
      </c>
      <c r="U102" s="603">
        <f>Markaz!U102+Avenue!U102</f>
        <v>2180.4479566262535</v>
      </c>
      <c r="V102" s="168">
        <f t="shared" si="33"/>
        <v>8.9832731423728981E-3</v>
      </c>
      <c r="W102" s="603">
        <f>Markaz!W102+Avenue!W102</f>
        <v>1144.7351772287834</v>
      </c>
      <c r="X102" s="168">
        <f t="shared" si="34"/>
        <v>4.6353704501310928E-3</v>
      </c>
      <c r="Y102" s="603">
        <f>Markaz!Y102+Avenue!Y102</f>
        <v>1201.9719360902222</v>
      </c>
      <c r="Z102" s="168">
        <f t="shared" si="35"/>
        <v>3.2218551847061688E-3</v>
      </c>
      <c r="AA102" s="275">
        <f t="shared" si="36"/>
        <v>15609.47485844519</v>
      </c>
      <c r="AB102" s="203">
        <f t="shared" si="37"/>
        <v>4.4903610130909389E-3</v>
      </c>
      <c r="AC102" s="198">
        <f t="shared" si="38"/>
        <v>1300.7895715370992</v>
      </c>
      <c r="AD102" s="203">
        <f t="shared" si="39"/>
        <v>4.4903610130909389E-3</v>
      </c>
      <c r="AE102" s="75"/>
      <c r="AF102" s="158"/>
      <c r="AG102" s="75"/>
      <c r="AH102" s="198">
        <v>5263.5292553191493</v>
      </c>
      <c r="AI102" s="244">
        <f>AH102/AH12</f>
        <v>6.5366768188190039E-3</v>
      </c>
      <c r="AJ102" s="282">
        <f t="shared" si="41"/>
        <v>22173.79368530144</v>
      </c>
      <c r="AK102" s="53">
        <f t="shared" si="42"/>
        <v>0</v>
      </c>
      <c r="AL102" s="53">
        <f t="shared" si="43"/>
        <v>15609.47485844519</v>
      </c>
      <c r="AM102" s="53">
        <f t="shared" si="44"/>
        <v>119644.38120734041</v>
      </c>
      <c r="AN102" s="53" t="e">
        <f>#REF!-AM102</f>
        <v>#REF!</v>
      </c>
      <c r="AO102" s="53"/>
    </row>
    <row r="103" spans="1:41">
      <c r="A103" s="2">
        <v>6310</v>
      </c>
      <c r="B103" s="2" t="s">
        <v>127</v>
      </c>
      <c r="C103" s="167">
        <f>Markaz!C103+Avenue!C103</f>
        <v>21.276595744680851</v>
      </c>
      <c r="D103" s="521">
        <f t="shared" si="24"/>
        <v>8.1378704469709393E-5</v>
      </c>
      <c r="E103" s="167">
        <f>Markaz!E103+Avenue!E103</f>
        <v>21.276595744680851</v>
      </c>
      <c r="F103" s="521">
        <f t="shared" si="25"/>
        <v>1.0459966949575829E-4</v>
      </c>
      <c r="G103" s="167">
        <f>Markaz!G103+Avenue!G103</f>
        <v>21.276595744680851</v>
      </c>
      <c r="H103" s="521">
        <f t="shared" si="26"/>
        <v>6.3058282714704896E-5</v>
      </c>
      <c r="I103" s="167">
        <f>Markaz!I103+Avenue!I103</f>
        <v>21.276595744680851</v>
      </c>
      <c r="J103" s="521">
        <f t="shared" si="27"/>
        <v>7.141414792038619E-5</v>
      </c>
      <c r="K103" s="167">
        <f>Markaz!K103+Avenue!K103</f>
        <v>21.276595744680851</v>
      </c>
      <c r="L103" s="521">
        <f t="shared" si="28"/>
        <v>7.8082223229314295E-5</v>
      </c>
      <c r="M103" s="167">
        <f>Markaz!M103+Avenue!M103</f>
        <v>0</v>
      </c>
      <c r="N103" s="521">
        <f t="shared" si="29"/>
        <v>0</v>
      </c>
      <c r="O103" s="167">
        <f>Markaz!O103+Avenue!O103</f>
        <v>21.276595744680851</v>
      </c>
      <c r="P103" s="521">
        <f t="shared" si="30"/>
        <v>8.6976244050234274E-5</v>
      </c>
      <c r="Q103" s="167">
        <f>Markaz!Q103+Avenue!Q103</f>
        <v>21.276595744680851</v>
      </c>
      <c r="R103" s="168">
        <f t="shared" si="31"/>
        <v>7.0043899176277862E-5</v>
      </c>
      <c r="S103" s="167">
        <f>Markaz!S103+Avenue!S103</f>
        <v>21.276595744680851</v>
      </c>
      <c r="T103" s="168">
        <f t="shared" si="32"/>
        <v>6.9530812138123333E-5</v>
      </c>
      <c r="U103" s="167">
        <f>Markaz!U103+Avenue!U103</f>
        <v>21.276595744680851</v>
      </c>
      <c r="V103" s="168">
        <f t="shared" si="33"/>
        <v>8.765789182606885E-5</v>
      </c>
      <c r="W103" s="167">
        <f>Markaz!W103+Avenue!W103</f>
        <v>21.276595744680851</v>
      </c>
      <c r="X103" s="168">
        <f t="shared" si="34"/>
        <v>8.6155213149851249E-5</v>
      </c>
      <c r="Y103" s="167">
        <f>Markaz!Y103+Avenue!Y103</f>
        <v>21.276595744680851</v>
      </c>
      <c r="Z103" s="168">
        <f t="shared" si="35"/>
        <v>5.7031373407832802E-5</v>
      </c>
      <c r="AA103" s="275">
        <f t="shared" si="36"/>
        <v>234.04255319148939</v>
      </c>
      <c r="AB103" s="203">
        <f t="shared" si="37"/>
        <v>6.7326772091037953E-5</v>
      </c>
      <c r="AC103" s="198">
        <f t="shared" si="38"/>
        <v>19.503546099290784</v>
      </c>
      <c r="AD103" s="203">
        <f t="shared" si="39"/>
        <v>6.7326772091037967E-5</v>
      </c>
      <c r="AE103" s="75"/>
      <c r="AF103" s="158"/>
      <c r="AG103" s="75"/>
      <c r="AH103" s="198">
        <v>2500</v>
      </c>
      <c r="AI103" s="244">
        <f>AH103/AH12</f>
        <v>3.10470242575989E-3</v>
      </c>
      <c r="AJ103" s="282">
        <f t="shared" si="41"/>
        <v>2753.5460992907801</v>
      </c>
      <c r="AK103" s="53">
        <f t="shared" si="42"/>
        <v>0</v>
      </c>
      <c r="AL103" s="53">
        <f t="shared" si="43"/>
        <v>234.04255319148939</v>
      </c>
      <c r="AM103" s="53">
        <f t="shared" si="44"/>
        <v>1800</v>
      </c>
      <c r="AN103" s="53" t="e">
        <f>#REF!-AM103</f>
        <v>#REF!</v>
      </c>
      <c r="AO103" s="53"/>
    </row>
    <row r="104" spans="1:41">
      <c r="A104" s="2">
        <v>6311</v>
      </c>
      <c r="B104" s="2" t="s">
        <v>128</v>
      </c>
      <c r="C104" s="167">
        <f>Markaz!C104+Avenue!C104</f>
        <v>2127.6595744680849</v>
      </c>
      <c r="D104" s="521">
        <f t="shared" si="24"/>
        <v>8.1378704469709379E-3</v>
      </c>
      <c r="E104" s="167">
        <f>Markaz!E104+Avenue!E104</f>
        <v>0</v>
      </c>
      <c r="F104" s="521">
        <f t="shared" si="25"/>
        <v>0</v>
      </c>
      <c r="G104" s="167">
        <f>Markaz!G104+Avenue!G104</f>
        <v>0</v>
      </c>
      <c r="H104" s="521">
        <f t="shared" si="26"/>
        <v>0</v>
      </c>
      <c r="I104" s="167">
        <f>Markaz!I104+Avenue!I104</f>
        <v>0</v>
      </c>
      <c r="J104" s="521">
        <f t="shared" si="27"/>
        <v>0</v>
      </c>
      <c r="K104" s="167">
        <f>Markaz!K104+Avenue!K104</f>
        <v>0</v>
      </c>
      <c r="L104" s="521">
        <f t="shared" si="28"/>
        <v>0</v>
      </c>
      <c r="M104" s="167">
        <f>Markaz!M104+Avenue!M104</f>
        <v>0</v>
      </c>
      <c r="N104" s="521">
        <f t="shared" si="29"/>
        <v>0</v>
      </c>
      <c r="O104" s="167">
        <f>Markaz!O104+Avenue!O104</f>
        <v>0</v>
      </c>
      <c r="P104" s="521">
        <f t="shared" si="30"/>
        <v>0</v>
      </c>
      <c r="Q104" s="167">
        <f>Markaz!Q104+Avenue!Q104</f>
        <v>0</v>
      </c>
      <c r="R104" s="168">
        <f t="shared" si="31"/>
        <v>0</v>
      </c>
      <c r="S104" s="167">
        <f>Markaz!S104+Avenue!S104</f>
        <v>0</v>
      </c>
      <c r="T104" s="168">
        <f t="shared" si="32"/>
        <v>0</v>
      </c>
      <c r="U104" s="167">
        <f>Markaz!U104+Avenue!U104</f>
        <v>0</v>
      </c>
      <c r="V104" s="168">
        <f t="shared" si="33"/>
        <v>0</v>
      </c>
      <c r="W104" s="167">
        <f>Markaz!W104+Avenue!W104</f>
        <v>0</v>
      </c>
      <c r="X104" s="168">
        <f t="shared" si="34"/>
        <v>0</v>
      </c>
      <c r="Y104" s="167">
        <f>Markaz!Y104+Avenue!Y104</f>
        <v>0</v>
      </c>
      <c r="Z104" s="168">
        <f t="shared" si="35"/>
        <v>0</v>
      </c>
      <c r="AA104" s="275">
        <f t="shared" si="36"/>
        <v>2127.6595744680849</v>
      </c>
      <c r="AB104" s="203">
        <f t="shared" si="37"/>
        <v>6.1206156446398121E-4</v>
      </c>
      <c r="AC104" s="198">
        <f t="shared" si="38"/>
        <v>177.30496453900707</v>
      </c>
      <c r="AD104" s="203">
        <f t="shared" si="39"/>
        <v>6.1206156446398131E-4</v>
      </c>
      <c r="AE104" s="75"/>
      <c r="AF104" s="158"/>
      <c r="AG104" s="75"/>
      <c r="AH104" s="198">
        <v>4644.4148936170222</v>
      </c>
      <c r="AI104" s="244">
        <f>AH104/AH12</f>
        <v>5.7678104745792517E-3</v>
      </c>
      <c r="AJ104" s="282">
        <f t="shared" si="41"/>
        <v>6949.3794326241141</v>
      </c>
      <c r="AK104" s="53">
        <f t="shared" si="42"/>
        <v>0</v>
      </c>
      <c r="AL104" s="53">
        <f t="shared" si="43"/>
        <v>2127.6595744680849</v>
      </c>
      <c r="AM104" s="53">
        <f t="shared" si="44"/>
        <v>0</v>
      </c>
      <c r="AN104" s="53" t="e">
        <f>#REF!-AM104</f>
        <v>#REF!</v>
      </c>
      <c r="AO104" s="53"/>
    </row>
    <row r="105" spans="1:41">
      <c r="A105" s="2">
        <v>6312</v>
      </c>
      <c r="B105" s="2" t="s">
        <v>129</v>
      </c>
      <c r="C105" s="151">
        <f>Markaz!C105+Avenue!C105</f>
        <v>987.00000000000011</v>
      </c>
      <c r="D105" s="521">
        <f t="shared" si="24"/>
        <v>3.7750767216453494E-3</v>
      </c>
      <c r="E105" s="151">
        <f>Markaz!E105+Avenue!E105</f>
        <v>987.00000000000011</v>
      </c>
      <c r="F105" s="521">
        <f t="shared" si="25"/>
        <v>4.8522740682387325E-3</v>
      </c>
      <c r="G105" s="151">
        <f>Markaz!G105+Avenue!G105</f>
        <v>987.00000000000011</v>
      </c>
      <c r="H105" s="521">
        <f t="shared" si="26"/>
        <v>2.9252106768524458E-3</v>
      </c>
      <c r="I105" s="151">
        <f>Markaz!I105+Avenue!I105</f>
        <v>0</v>
      </c>
      <c r="J105" s="521">
        <f t="shared" si="27"/>
        <v>0</v>
      </c>
      <c r="K105" s="151">
        <f>Markaz!K105+Avenue!K105</f>
        <v>987.00000000000011</v>
      </c>
      <c r="L105" s="521">
        <f t="shared" si="28"/>
        <v>3.6221562533846614E-3</v>
      </c>
      <c r="M105" s="151">
        <f>Markaz!M105+Avenue!M105</f>
        <v>0</v>
      </c>
      <c r="N105" s="521">
        <f t="shared" si="29"/>
        <v>0</v>
      </c>
      <c r="O105" s="151">
        <f>Markaz!O105+Avenue!O105</f>
        <v>987.00000000000011</v>
      </c>
      <c r="P105" s="521">
        <f t="shared" si="30"/>
        <v>4.0347409852463179E-3</v>
      </c>
      <c r="Q105" s="151">
        <f>Markaz!Q105+Avenue!Q105</f>
        <v>0</v>
      </c>
      <c r="R105" s="168">
        <f t="shared" si="31"/>
        <v>0</v>
      </c>
      <c r="S105" s="151">
        <f>Markaz!S105+Avenue!S105</f>
        <v>987.00000000000011</v>
      </c>
      <c r="T105" s="168">
        <f t="shared" si="32"/>
        <v>3.2254648442754039E-3</v>
      </c>
      <c r="U105" s="151">
        <f>Markaz!U105+Avenue!U105</f>
        <v>0</v>
      </c>
      <c r="V105" s="168">
        <f t="shared" si="33"/>
        <v>0</v>
      </c>
      <c r="W105" s="151">
        <f>Markaz!W105+Avenue!W105</f>
        <v>987.00000000000011</v>
      </c>
      <c r="X105" s="168">
        <f t="shared" si="34"/>
        <v>3.9966541828084495E-3</v>
      </c>
      <c r="Y105" s="151">
        <f>Markaz!Y105+Avenue!Y105</f>
        <v>987.00000000000011</v>
      </c>
      <c r="Z105" s="168">
        <f t="shared" si="35"/>
        <v>2.6456283810159563E-3</v>
      </c>
      <c r="AA105" s="275">
        <f t="shared" si="36"/>
        <v>7896.0000000000009</v>
      </c>
      <c r="AB105" s="203">
        <f t="shared" si="37"/>
        <v>2.2714339131135707E-3</v>
      </c>
      <c r="AC105" s="198">
        <f t="shared" si="38"/>
        <v>658.00000000000011</v>
      </c>
      <c r="AD105" s="203">
        <f t="shared" si="39"/>
        <v>2.2714339131135711E-3</v>
      </c>
      <c r="AE105" s="75"/>
      <c r="AF105" s="158"/>
      <c r="AG105" s="75"/>
      <c r="AH105" s="198">
        <v>12000</v>
      </c>
      <c r="AI105" s="244">
        <f>AH105/AH12</f>
        <v>1.490257164364747E-2</v>
      </c>
      <c r="AJ105" s="282">
        <f t="shared" si="41"/>
        <v>20554</v>
      </c>
      <c r="AK105" s="53">
        <f t="shared" si="42"/>
        <v>0</v>
      </c>
      <c r="AL105" s="53">
        <f t="shared" si="43"/>
        <v>7896.0000000000009</v>
      </c>
      <c r="AM105" s="53">
        <f t="shared" si="44"/>
        <v>55666.80000000001</v>
      </c>
      <c r="AN105" s="53" t="e">
        <f>#REF!-AM105</f>
        <v>#REF!</v>
      </c>
      <c r="AO105" s="53"/>
    </row>
    <row r="106" spans="1:41">
      <c r="A106" s="2">
        <v>6313</v>
      </c>
      <c r="B106" s="2" t="s">
        <v>130</v>
      </c>
      <c r="C106" s="167">
        <f>Markaz!C106+Avenue!C106</f>
        <v>0</v>
      </c>
      <c r="D106" s="521">
        <f t="shared" si="24"/>
        <v>0</v>
      </c>
      <c r="E106" s="167">
        <f>Markaz!E106+Avenue!E106</f>
        <v>0</v>
      </c>
      <c r="F106" s="521">
        <f t="shared" si="25"/>
        <v>0</v>
      </c>
      <c r="G106" s="167">
        <f>Markaz!G106+Avenue!G106</f>
        <v>483.55899419729212</v>
      </c>
      <c r="H106" s="521">
        <f t="shared" si="26"/>
        <v>1.4331427889705658E-3</v>
      </c>
      <c r="I106" s="167">
        <f>Markaz!I106+Avenue!I106</f>
        <v>0</v>
      </c>
      <c r="J106" s="521">
        <f t="shared" si="27"/>
        <v>0</v>
      </c>
      <c r="K106" s="167">
        <f>Markaz!K106+Avenue!K106</f>
        <v>483.55899419729212</v>
      </c>
      <c r="L106" s="521">
        <f t="shared" si="28"/>
        <v>1.774595982484416E-3</v>
      </c>
      <c r="M106" s="167">
        <f>Markaz!M106+Avenue!M106</f>
        <v>0</v>
      </c>
      <c r="N106" s="521">
        <f t="shared" si="29"/>
        <v>0</v>
      </c>
      <c r="O106" s="167">
        <f>Markaz!O106+Avenue!O106</f>
        <v>0</v>
      </c>
      <c r="P106" s="521">
        <f t="shared" si="30"/>
        <v>0</v>
      </c>
      <c r="Q106" s="167">
        <f>Markaz!Q106+Avenue!Q106</f>
        <v>483.55899419729212</v>
      </c>
      <c r="R106" s="168">
        <f t="shared" si="31"/>
        <v>1.5919067994608605E-3</v>
      </c>
      <c r="S106" s="167">
        <f>Markaz!S106+Avenue!S106</f>
        <v>0</v>
      </c>
      <c r="T106" s="168">
        <f t="shared" si="32"/>
        <v>0</v>
      </c>
      <c r="U106" s="167">
        <f>Markaz!U106+Avenue!U106</f>
        <v>0</v>
      </c>
      <c r="V106" s="168">
        <f t="shared" si="33"/>
        <v>0</v>
      </c>
      <c r="W106" s="167">
        <f>Markaz!W106+Avenue!W106</f>
        <v>0</v>
      </c>
      <c r="X106" s="168">
        <f t="shared" si="34"/>
        <v>0</v>
      </c>
      <c r="Y106" s="167">
        <f>Markaz!Y106+Avenue!Y106</f>
        <v>483.55899419729212</v>
      </c>
      <c r="Z106" s="168">
        <f t="shared" si="35"/>
        <v>1.2961675774507456E-3</v>
      </c>
      <c r="AA106" s="275">
        <f t="shared" si="36"/>
        <v>1934.2359767891685</v>
      </c>
      <c r="AB106" s="168">
        <f t="shared" si="37"/>
        <v>5.5641960405816487E-4</v>
      </c>
      <c r="AC106" s="198">
        <f t="shared" si="38"/>
        <v>161.18633139909738</v>
      </c>
      <c r="AD106" s="168">
        <f t="shared" si="39"/>
        <v>5.5641960405816498E-4</v>
      </c>
      <c r="AE106" s="75"/>
      <c r="AF106" s="158"/>
      <c r="AG106" s="75"/>
      <c r="AH106" s="198"/>
      <c r="AI106" s="244"/>
      <c r="AJ106" s="282"/>
      <c r="AK106" s="53"/>
      <c r="AL106" s="53"/>
      <c r="AM106" s="53"/>
      <c r="AN106" s="53"/>
      <c r="AO106" s="53"/>
    </row>
    <row r="107" spans="1:41">
      <c r="A107" s="2">
        <v>6314</v>
      </c>
      <c r="B107" s="2" t="s">
        <v>211</v>
      </c>
      <c r="C107" s="167">
        <f>Markaz!C107+Avenue!C107</f>
        <v>0</v>
      </c>
      <c r="D107" s="605">
        <f t="shared" ref="D107:D152" si="45">C107/C$12</f>
        <v>0</v>
      </c>
      <c r="E107" s="167">
        <f>Markaz!E107+Avenue!E107</f>
        <v>0</v>
      </c>
      <c r="F107" s="605">
        <f t="shared" ref="F107:F152" si="46">E107/E$12</f>
        <v>0</v>
      </c>
      <c r="G107" s="167">
        <f>Markaz!G107+Avenue!G107</f>
        <v>0</v>
      </c>
      <c r="H107" s="605">
        <f t="shared" ref="H107:H152" si="47">G107/G$12</f>
        <v>0</v>
      </c>
      <c r="I107" s="167">
        <f>Markaz!I107+Avenue!I107</f>
        <v>0</v>
      </c>
      <c r="J107" s="605">
        <f t="shared" ref="J107:J152" si="48">I107/I$12</f>
        <v>0</v>
      </c>
      <c r="K107" s="167">
        <f>Markaz!K107+Avenue!K107</f>
        <v>0</v>
      </c>
      <c r="L107" s="605">
        <f t="shared" ref="L107:L152" si="49">K107/K$12</f>
        <v>0</v>
      </c>
      <c r="M107" s="167">
        <f>Markaz!M107+Avenue!M107</f>
        <v>0</v>
      </c>
      <c r="N107" s="605">
        <f t="shared" ref="N107:N152" si="50">M107/M$12</f>
        <v>0</v>
      </c>
      <c r="O107" s="167">
        <f>Markaz!O107+Avenue!O107</f>
        <v>0</v>
      </c>
      <c r="P107" s="605">
        <f t="shared" ref="P107:P152" si="51">O107/O$12</f>
        <v>0</v>
      </c>
      <c r="Q107" s="167">
        <f>Markaz!Q107+Avenue!Q107</f>
        <v>0</v>
      </c>
      <c r="R107" s="604">
        <f t="shared" ref="R107:R152" si="52">Q107/Q$12</f>
        <v>0</v>
      </c>
      <c r="S107" s="167">
        <f>Markaz!S107+Avenue!S107</f>
        <v>0</v>
      </c>
      <c r="T107" s="604">
        <f t="shared" ref="T107:T152" si="53">S107/S$12</f>
        <v>0</v>
      </c>
      <c r="U107" s="167">
        <f>Markaz!U107+Avenue!U107</f>
        <v>0</v>
      </c>
      <c r="V107" s="604">
        <f t="shared" ref="V107:V152" si="54">U107/U$12</f>
        <v>0</v>
      </c>
      <c r="W107" s="167">
        <f>Markaz!W107+Avenue!W107</f>
        <v>0</v>
      </c>
      <c r="X107" s="604">
        <f t="shared" ref="X107:X152" si="55">W107/W$12</f>
        <v>0</v>
      </c>
      <c r="Y107" s="167">
        <f>Markaz!Y107+Avenue!Y107</f>
        <v>0</v>
      </c>
      <c r="Z107" s="183">
        <f t="shared" ref="Z107:Z152" si="56">Y107/Y$12</f>
        <v>0</v>
      </c>
      <c r="AA107" s="275">
        <f t="shared" ref="AA107:AA152" si="57">C107+E107+G107+I107+K107+M107+O107+Q107+S107+U107+W107+Y107</f>
        <v>0</v>
      </c>
      <c r="AB107" s="183">
        <f t="shared" ref="AB107:AB152" si="58">AA107/AA$12</f>
        <v>0</v>
      </c>
      <c r="AC107" s="198">
        <f t="shared" ref="AC107:AC152" si="59">AA107/12</f>
        <v>0</v>
      </c>
      <c r="AD107" s="183">
        <f t="shared" ref="AD107:AD152" si="60">AC107/AC$12</f>
        <v>0</v>
      </c>
      <c r="AE107" s="75"/>
      <c r="AF107" s="158"/>
      <c r="AG107" s="75"/>
      <c r="AH107" s="198">
        <v>0</v>
      </c>
      <c r="AI107" s="244">
        <f>AH107/AH12</f>
        <v>0</v>
      </c>
      <c r="AJ107" s="282">
        <f t="shared" si="41"/>
        <v>0</v>
      </c>
      <c r="AK107" s="53">
        <f t="shared" si="42"/>
        <v>0</v>
      </c>
      <c r="AL107" s="53">
        <f t="shared" si="43"/>
        <v>0</v>
      </c>
      <c r="AM107" s="53">
        <f t="shared" si="44"/>
        <v>0</v>
      </c>
      <c r="AN107" s="53" t="e">
        <f>#REF!-AM107</f>
        <v>#REF!</v>
      </c>
      <c r="AO107" s="53"/>
    </row>
    <row r="108" spans="1:41" s="305" customFormat="1">
      <c r="A108" s="2">
        <v>6315</v>
      </c>
      <c r="B108" s="2" t="s">
        <v>258</v>
      </c>
      <c r="C108" s="167">
        <f>Markaz!C108+Avenue!C108</f>
        <v>0</v>
      </c>
      <c r="D108" s="521">
        <f t="shared" si="45"/>
        <v>0</v>
      </c>
      <c r="E108" s="167">
        <f>Markaz!E108+Avenue!E108</f>
        <v>668</v>
      </c>
      <c r="F108" s="521">
        <f t="shared" si="46"/>
        <v>3.2840112234888276E-3</v>
      </c>
      <c r="G108" s="167">
        <f>Markaz!G108+Avenue!G108</f>
        <v>939</v>
      </c>
      <c r="H108" s="521">
        <f t="shared" si="47"/>
        <v>2.7829511910480711E-3</v>
      </c>
      <c r="I108" s="167">
        <f>Markaz!I108+Avenue!I108</f>
        <v>668</v>
      </c>
      <c r="J108" s="521">
        <f t="shared" si="48"/>
        <v>2.2421185881084447E-3</v>
      </c>
      <c r="K108" s="167">
        <f>Markaz!K108+Avenue!K108</f>
        <v>324.84042553191489</v>
      </c>
      <c r="L108" s="521">
        <f t="shared" si="49"/>
        <v>1.192120343153556E-3</v>
      </c>
      <c r="M108" s="167">
        <f>Markaz!M108+Avenue!M108</f>
        <v>0</v>
      </c>
      <c r="N108" s="521">
        <f t="shared" si="50"/>
        <v>0</v>
      </c>
      <c r="O108" s="167">
        <f>Markaz!O108+Avenue!O108</f>
        <v>246.25</v>
      </c>
      <c r="P108" s="521">
        <f t="shared" si="51"/>
        <v>1.006641304576399E-3</v>
      </c>
      <c r="Q108" s="167">
        <f>Markaz!Q108+Avenue!Q108</f>
        <v>324.84042553191489</v>
      </c>
      <c r="R108" s="168">
        <f t="shared" si="52"/>
        <v>1.0693952306738222E-3</v>
      </c>
      <c r="S108" s="167">
        <f>Markaz!S108+Avenue!S108</f>
        <v>0</v>
      </c>
      <c r="T108" s="168">
        <f t="shared" si="53"/>
        <v>0</v>
      </c>
      <c r="U108" s="167">
        <f>Markaz!U108+Avenue!U108</f>
        <v>246.25</v>
      </c>
      <c r="V108" s="168">
        <f t="shared" si="54"/>
        <v>1.0145305255219643E-3</v>
      </c>
      <c r="W108" s="167">
        <f>Markaz!W108+Avenue!W108</f>
        <v>0</v>
      </c>
      <c r="X108" s="168">
        <f t="shared" si="55"/>
        <v>0</v>
      </c>
      <c r="Y108" s="167">
        <f>Markaz!Y108+Avenue!Y108</f>
        <v>324.84042553191489</v>
      </c>
      <c r="Z108" s="168">
        <f t="shared" si="56"/>
        <v>8.7072649350408726E-4</v>
      </c>
      <c r="AA108" s="302">
        <f t="shared" si="57"/>
        <v>3742.021276595744</v>
      </c>
      <c r="AB108" s="168">
        <f t="shared" si="58"/>
        <v>1.0764632765010269E-3</v>
      </c>
      <c r="AC108" s="302">
        <f t="shared" si="59"/>
        <v>311.83510638297867</v>
      </c>
      <c r="AD108" s="168">
        <f t="shared" si="60"/>
        <v>1.0764632765010271E-3</v>
      </c>
      <c r="AE108" s="75"/>
      <c r="AF108" s="158"/>
      <c r="AG108" s="75"/>
      <c r="AH108" s="527"/>
      <c r="AI108" s="244"/>
      <c r="AJ108" s="282"/>
      <c r="AK108" s="53"/>
      <c r="AL108" s="53"/>
      <c r="AM108" s="53"/>
      <c r="AN108" s="53"/>
      <c r="AO108" s="53"/>
    </row>
    <row r="109" spans="1:41" s="305" customFormat="1">
      <c r="A109" s="2">
        <v>6316</v>
      </c>
      <c r="B109" s="2" t="s">
        <v>259</v>
      </c>
      <c r="C109" s="167">
        <f>Markaz!C109+Avenue!C109</f>
        <v>0</v>
      </c>
      <c r="D109" s="521">
        <f t="shared" si="45"/>
        <v>0</v>
      </c>
      <c r="E109" s="167">
        <f>Markaz!E109+Avenue!E109</f>
        <v>2242.4468085106382</v>
      </c>
      <c r="F109" s="521">
        <f t="shared" si="46"/>
        <v>1.1024282166505445E-2</v>
      </c>
      <c r="G109" s="167">
        <f>Markaz!G109+Avenue!G109</f>
        <v>0</v>
      </c>
      <c r="H109" s="521">
        <f t="shared" si="47"/>
        <v>0</v>
      </c>
      <c r="I109" s="167">
        <f>Markaz!I109+Avenue!I109</f>
        <v>0</v>
      </c>
      <c r="J109" s="521">
        <f t="shared" si="48"/>
        <v>0</v>
      </c>
      <c r="K109" s="167">
        <f>Markaz!K109+Avenue!K109</f>
        <v>2357.7127659574467</v>
      </c>
      <c r="L109" s="521">
        <f t="shared" si="49"/>
        <v>8.6524863615983893E-3</v>
      </c>
      <c r="M109" s="167">
        <f>Markaz!M109+Avenue!M109</f>
        <v>1000.7180851063829</v>
      </c>
      <c r="N109" s="521">
        <f t="shared" si="50"/>
        <v>2.5899405193972654E-3</v>
      </c>
      <c r="O109" s="167">
        <f>Markaz!O109+Avenue!O109</f>
        <v>0</v>
      </c>
      <c r="P109" s="521">
        <f t="shared" si="51"/>
        <v>0</v>
      </c>
      <c r="Q109" s="167">
        <f>Markaz!Q109+Avenue!Q109</f>
        <v>2378.6702127659573</v>
      </c>
      <c r="R109" s="168">
        <f t="shared" si="52"/>
        <v>7.8307328181599235E-3</v>
      </c>
      <c r="S109" s="167">
        <f>Markaz!S109+Avenue!S109</f>
        <v>1000.7180851063829</v>
      </c>
      <c r="T109" s="168">
        <f t="shared" si="53"/>
        <v>3.2702948354014581E-3</v>
      </c>
      <c r="U109" s="167">
        <f>Markaz!U109+Avenue!U109</f>
        <v>1173.6170212765958</v>
      </c>
      <c r="V109" s="168">
        <f t="shared" si="54"/>
        <v>4.8352093131259575E-3</v>
      </c>
      <c r="W109" s="167">
        <f>Markaz!W109+Avenue!W109</f>
        <v>0</v>
      </c>
      <c r="X109" s="168">
        <f t="shared" si="55"/>
        <v>0</v>
      </c>
      <c r="Y109" s="167">
        <f>Markaz!Y109+Avenue!Y109</f>
        <v>0</v>
      </c>
      <c r="Z109" s="168">
        <f t="shared" si="56"/>
        <v>0</v>
      </c>
      <c r="AA109" s="302">
        <f t="shared" si="57"/>
        <v>10153.882978723404</v>
      </c>
      <c r="AB109" s="168">
        <f t="shared" si="58"/>
        <v>2.9209567056305698E-3</v>
      </c>
      <c r="AC109" s="302">
        <f t="shared" si="59"/>
        <v>846.156914893617</v>
      </c>
      <c r="AD109" s="168">
        <f t="shared" si="60"/>
        <v>2.9209567056305698E-3</v>
      </c>
      <c r="AE109" s="75"/>
      <c r="AF109" s="158"/>
      <c r="AG109" s="75"/>
      <c r="AH109" s="527"/>
      <c r="AI109" s="244"/>
      <c r="AJ109" s="282"/>
      <c r="AK109" s="53"/>
      <c r="AL109" s="53"/>
      <c r="AM109" s="53"/>
      <c r="AN109" s="53"/>
      <c r="AO109" s="53"/>
    </row>
    <row r="110" spans="1:41" s="305" customFormat="1">
      <c r="A110" s="2">
        <v>6317</v>
      </c>
      <c r="B110" s="2" t="s">
        <v>260</v>
      </c>
      <c r="C110" s="167">
        <f>Markaz!C110+Avenue!C110</f>
        <v>0</v>
      </c>
      <c r="D110" s="521">
        <f t="shared" si="45"/>
        <v>0</v>
      </c>
      <c r="E110" s="167">
        <f>Markaz!E110+Avenue!E110</f>
        <v>639.20212765957444</v>
      </c>
      <c r="F110" s="521">
        <f t="shared" si="46"/>
        <v>3.1424355708263184E-3</v>
      </c>
      <c r="G110" s="167">
        <f>Markaz!G110+Avenue!G110</f>
        <v>0</v>
      </c>
      <c r="H110" s="521">
        <f t="shared" si="47"/>
        <v>0</v>
      </c>
      <c r="I110" s="167">
        <f>Markaz!I110+Avenue!I110</f>
        <v>2650.724069148936</v>
      </c>
      <c r="J110" s="521">
        <f t="shared" si="48"/>
        <v>8.8970624362055151E-3</v>
      </c>
      <c r="K110" s="167">
        <f>Markaz!K110+Avenue!K110</f>
        <v>734.16555851063822</v>
      </c>
      <c r="L110" s="521">
        <f t="shared" si="49"/>
        <v>2.6942881142643874E-3</v>
      </c>
      <c r="M110" s="167">
        <f>Markaz!M110+Avenue!M110</f>
        <v>0</v>
      </c>
      <c r="N110" s="521">
        <f t="shared" si="50"/>
        <v>0</v>
      </c>
      <c r="O110" s="167">
        <f>Markaz!O110+Avenue!O110</f>
        <v>0</v>
      </c>
      <c r="P110" s="521">
        <f t="shared" si="51"/>
        <v>0</v>
      </c>
      <c r="Q110" s="167">
        <f>Markaz!Q110+Avenue!Q110</f>
        <v>2258.3482712765954</v>
      </c>
      <c r="R110" s="168">
        <f t="shared" si="52"/>
        <v>7.4346253750563049E-3</v>
      </c>
      <c r="S110" s="167">
        <f>Markaz!S110+Avenue!S110</f>
        <v>0</v>
      </c>
      <c r="T110" s="168">
        <f t="shared" si="53"/>
        <v>0</v>
      </c>
      <c r="U110" s="167">
        <f>Markaz!U110+Avenue!U110</f>
        <v>639.20212765957444</v>
      </c>
      <c r="V110" s="168">
        <f t="shared" si="54"/>
        <v>2.6334622151846731E-3</v>
      </c>
      <c r="W110" s="167">
        <f>Markaz!W110+Avenue!W110</f>
        <v>0</v>
      </c>
      <c r="X110" s="168">
        <f t="shared" si="55"/>
        <v>0</v>
      </c>
      <c r="Y110" s="167">
        <f>Markaz!Y110+Avenue!Y110</f>
        <v>0</v>
      </c>
      <c r="Z110" s="168">
        <f t="shared" si="56"/>
        <v>0</v>
      </c>
      <c r="AA110" s="302">
        <f t="shared" si="57"/>
        <v>6921.642154255318</v>
      </c>
      <c r="AB110" s="168">
        <f t="shared" si="58"/>
        <v>1.9911414290288755E-3</v>
      </c>
      <c r="AC110" s="302">
        <f t="shared" si="59"/>
        <v>576.80351285460983</v>
      </c>
      <c r="AD110" s="168">
        <f t="shared" si="60"/>
        <v>1.9911414290288755E-3</v>
      </c>
      <c r="AE110" s="75"/>
      <c r="AF110" s="158"/>
      <c r="AG110" s="75"/>
      <c r="AH110" s="527"/>
      <c r="AI110" s="244"/>
      <c r="AJ110" s="282"/>
      <c r="AK110" s="53"/>
      <c r="AL110" s="53"/>
      <c r="AM110" s="53"/>
      <c r="AN110" s="53"/>
      <c r="AO110" s="53"/>
    </row>
    <row r="111" spans="1:41" s="305" customFormat="1">
      <c r="A111" s="2">
        <v>6318</v>
      </c>
      <c r="B111" s="2" t="s">
        <v>261</v>
      </c>
      <c r="C111" s="167">
        <f>Markaz!C111+Avenue!C111</f>
        <v>0</v>
      </c>
      <c r="D111" s="521">
        <f t="shared" si="45"/>
        <v>0</v>
      </c>
      <c r="E111" s="167">
        <f>Markaz!E111+Avenue!E111</f>
        <v>0</v>
      </c>
      <c r="F111" s="521">
        <f t="shared" si="46"/>
        <v>0</v>
      </c>
      <c r="G111" s="167">
        <f>Markaz!G111+Avenue!G111</f>
        <v>0</v>
      </c>
      <c r="H111" s="521">
        <f t="shared" si="47"/>
        <v>0</v>
      </c>
      <c r="I111" s="167">
        <f>Markaz!I111+Avenue!I111</f>
        <v>0</v>
      </c>
      <c r="J111" s="521">
        <f t="shared" si="48"/>
        <v>0</v>
      </c>
      <c r="K111" s="167">
        <f>Markaz!K111+Avenue!K111</f>
        <v>0</v>
      </c>
      <c r="L111" s="521">
        <f t="shared" si="49"/>
        <v>0</v>
      </c>
      <c r="M111" s="167">
        <f>Markaz!M111+Avenue!M111</f>
        <v>0</v>
      </c>
      <c r="N111" s="521">
        <f t="shared" si="50"/>
        <v>0</v>
      </c>
      <c r="O111" s="167">
        <f>Markaz!O111+Avenue!O111</f>
        <v>0</v>
      </c>
      <c r="P111" s="521">
        <f t="shared" si="51"/>
        <v>0</v>
      </c>
      <c r="Q111" s="167">
        <f>Markaz!Q111+Avenue!Q111</f>
        <v>0</v>
      </c>
      <c r="R111" s="168">
        <f t="shared" si="52"/>
        <v>0</v>
      </c>
      <c r="S111" s="167">
        <f>Markaz!S111+Avenue!S111</f>
        <v>0</v>
      </c>
      <c r="T111" s="168">
        <f t="shared" si="53"/>
        <v>0</v>
      </c>
      <c r="U111" s="167">
        <f>Markaz!U111+Avenue!U111</f>
        <v>0</v>
      </c>
      <c r="V111" s="168">
        <f t="shared" si="54"/>
        <v>0</v>
      </c>
      <c r="W111" s="167">
        <f>Markaz!W111+Avenue!W111</f>
        <v>0</v>
      </c>
      <c r="X111" s="168">
        <f t="shared" si="55"/>
        <v>0</v>
      </c>
      <c r="Y111" s="167">
        <f>Markaz!Y111+Avenue!Y111</f>
        <v>0</v>
      </c>
      <c r="Z111" s="168">
        <f t="shared" si="56"/>
        <v>0</v>
      </c>
      <c r="AA111" s="302">
        <f t="shared" si="57"/>
        <v>0</v>
      </c>
      <c r="AB111" s="168">
        <f t="shared" si="58"/>
        <v>0</v>
      </c>
      <c r="AC111" s="302">
        <f t="shared" si="59"/>
        <v>0</v>
      </c>
      <c r="AD111" s="168">
        <f t="shared" si="60"/>
        <v>0</v>
      </c>
      <c r="AE111" s="75"/>
      <c r="AF111" s="158"/>
      <c r="AG111" s="75"/>
      <c r="AH111" s="527"/>
      <c r="AI111" s="244"/>
      <c r="AJ111" s="282"/>
      <c r="AK111" s="53"/>
      <c r="AL111" s="53"/>
      <c r="AM111" s="53"/>
      <c r="AN111" s="53"/>
      <c r="AO111" s="53"/>
    </row>
    <row r="112" spans="1:41" s="305" customFormat="1">
      <c r="A112" s="2">
        <v>6319</v>
      </c>
      <c r="B112" s="2" t="s">
        <v>262</v>
      </c>
      <c r="C112" s="167">
        <f>Markaz!C112+Avenue!C112</f>
        <v>0</v>
      </c>
      <c r="D112" s="521">
        <f t="shared" si="45"/>
        <v>0</v>
      </c>
      <c r="E112" s="167">
        <f>Markaz!E112+Avenue!E112</f>
        <v>6600</v>
      </c>
      <c r="F112" s="521">
        <f t="shared" si="46"/>
        <v>3.2446817477584225E-2</v>
      </c>
      <c r="G112" s="167">
        <f>Markaz!G112+Avenue!G112</f>
        <v>6600</v>
      </c>
      <c r="H112" s="521">
        <f t="shared" si="47"/>
        <v>1.9560679298101458E-2</v>
      </c>
      <c r="I112" s="167">
        <f>Markaz!I112+Avenue!I112</f>
        <v>6600</v>
      </c>
      <c r="J112" s="521">
        <f t="shared" si="48"/>
        <v>2.2152668684903797E-2</v>
      </c>
      <c r="K112" s="167">
        <f>Markaz!K112+Avenue!K112</f>
        <v>6600</v>
      </c>
      <c r="L112" s="521">
        <f t="shared" si="49"/>
        <v>2.4221105645733293E-2</v>
      </c>
      <c r="M112" s="167">
        <f>Markaz!M112+Avenue!M112</f>
        <v>0</v>
      </c>
      <c r="N112" s="521">
        <f t="shared" si="50"/>
        <v>0</v>
      </c>
      <c r="O112" s="167">
        <f>Markaz!O112+Avenue!O112</f>
        <v>6600</v>
      </c>
      <c r="P112" s="521">
        <f t="shared" si="51"/>
        <v>2.6980030904382672E-2</v>
      </c>
      <c r="Q112" s="167">
        <f>Markaz!Q112+Avenue!Q112</f>
        <v>6600</v>
      </c>
      <c r="R112" s="168">
        <f t="shared" si="52"/>
        <v>2.172761752448139E-2</v>
      </c>
      <c r="S112" s="167">
        <f>Markaz!S112+Avenue!S112</f>
        <v>6600</v>
      </c>
      <c r="T112" s="168">
        <f t="shared" si="53"/>
        <v>2.1568457925245858E-2</v>
      </c>
      <c r="U112" s="167">
        <f>Markaz!U112+Avenue!U112</f>
        <v>6600</v>
      </c>
      <c r="V112" s="168">
        <f t="shared" si="54"/>
        <v>2.7191478044446556E-2</v>
      </c>
      <c r="W112" s="167">
        <f>Markaz!W112+Avenue!W112</f>
        <v>6600</v>
      </c>
      <c r="X112" s="168">
        <f t="shared" si="55"/>
        <v>2.6725347119083857E-2</v>
      </c>
      <c r="Y112" s="167">
        <f>Markaz!Y112+Avenue!Y112</f>
        <v>6600</v>
      </c>
      <c r="Z112" s="168">
        <f t="shared" si="56"/>
        <v>1.7691132031109735E-2</v>
      </c>
      <c r="AA112" s="302">
        <f t="shared" si="57"/>
        <v>66000</v>
      </c>
      <c r="AB112" s="168">
        <f t="shared" si="58"/>
        <v>1.8986149729672702E-2</v>
      </c>
      <c r="AC112" s="302">
        <f t="shared" si="59"/>
        <v>5500</v>
      </c>
      <c r="AD112" s="168">
        <f t="shared" si="60"/>
        <v>1.8986149729672702E-2</v>
      </c>
      <c r="AE112" s="75"/>
      <c r="AF112" s="158"/>
      <c r="AG112" s="75"/>
      <c r="AH112" s="527"/>
      <c r="AI112" s="244"/>
      <c r="AJ112" s="282"/>
      <c r="AK112" s="53"/>
      <c r="AL112" s="53"/>
      <c r="AM112" s="53"/>
      <c r="AN112" s="53"/>
      <c r="AO112" s="53"/>
    </row>
    <row r="113" spans="1:41" s="305" customFormat="1">
      <c r="A113" s="2">
        <v>6320</v>
      </c>
      <c r="B113" s="2" t="s">
        <v>263</v>
      </c>
      <c r="C113" s="167">
        <f>Markaz!C113+Avenue!C113</f>
        <v>0</v>
      </c>
      <c r="D113" s="521">
        <f t="shared" si="45"/>
        <v>0</v>
      </c>
      <c r="E113" s="167">
        <f>Markaz!E113+Avenue!E113</f>
        <v>0</v>
      </c>
      <c r="F113" s="521">
        <f t="shared" si="46"/>
        <v>0</v>
      </c>
      <c r="G113" s="167">
        <f>Markaz!G113+Avenue!G113</f>
        <v>0</v>
      </c>
      <c r="H113" s="521">
        <f t="shared" si="47"/>
        <v>0</v>
      </c>
      <c r="I113" s="167">
        <f>Markaz!I113+Avenue!I113</f>
        <v>0</v>
      </c>
      <c r="J113" s="521">
        <f t="shared" si="48"/>
        <v>0</v>
      </c>
      <c r="K113" s="167">
        <f>Markaz!K113+Avenue!K113</f>
        <v>0</v>
      </c>
      <c r="L113" s="521">
        <f t="shared" si="49"/>
        <v>0</v>
      </c>
      <c r="M113" s="167">
        <f>Markaz!M113+Avenue!M113</f>
        <v>0</v>
      </c>
      <c r="N113" s="521">
        <f t="shared" si="50"/>
        <v>0</v>
      </c>
      <c r="O113" s="167">
        <f>Markaz!O113+Avenue!O113</f>
        <v>0</v>
      </c>
      <c r="P113" s="521">
        <f t="shared" si="51"/>
        <v>0</v>
      </c>
      <c r="Q113" s="167">
        <f>Markaz!Q113+Avenue!Q113</f>
        <v>0</v>
      </c>
      <c r="R113" s="168">
        <f t="shared" si="52"/>
        <v>0</v>
      </c>
      <c r="S113" s="167">
        <f>Markaz!S113+Avenue!S113</f>
        <v>0</v>
      </c>
      <c r="T113" s="168">
        <f t="shared" si="53"/>
        <v>0</v>
      </c>
      <c r="U113" s="167">
        <f>Markaz!U113+Avenue!U113</f>
        <v>0</v>
      </c>
      <c r="V113" s="168">
        <f t="shared" si="54"/>
        <v>0</v>
      </c>
      <c r="W113" s="167">
        <f>Markaz!W113+Avenue!W113</f>
        <v>0</v>
      </c>
      <c r="X113" s="168">
        <f t="shared" si="55"/>
        <v>0</v>
      </c>
      <c r="Y113" s="167">
        <f>Markaz!Y113+Avenue!Y113</f>
        <v>0</v>
      </c>
      <c r="Z113" s="168">
        <f t="shared" si="56"/>
        <v>0</v>
      </c>
      <c r="AA113" s="302">
        <f t="shared" si="57"/>
        <v>0</v>
      </c>
      <c r="AB113" s="168">
        <f t="shared" si="58"/>
        <v>0</v>
      </c>
      <c r="AC113" s="302">
        <f t="shared" si="59"/>
        <v>0</v>
      </c>
      <c r="AD113" s="168">
        <f t="shared" si="60"/>
        <v>0</v>
      </c>
      <c r="AE113" s="75"/>
      <c r="AF113" s="158"/>
      <c r="AG113" s="75"/>
      <c r="AH113" s="527"/>
      <c r="AI113" s="244"/>
      <c r="AJ113" s="282"/>
      <c r="AK113" s="53"/>
      <c r="AL113" s="53"/>
      <c r="AM113" s="53"/>
      <c r="AN113" s="53"/>
      <c r="AO113" s="53"/>
    </row>
    <row r="114" spans="1:41" s="305" customFormat="1">
      <c r="A114" s="2">
        <v>6321</v>
      </c>
      <c r="B114" s="2" t="s">
        <v>264</v>
      </c>
      <c r="C114" s="167">
        <f>Markaz!C114+Avenue!C114</f>
        <v>186.17021276595744</v>
      </c>
      <c r="D114" s="521">
        <f t="shared" si="45"/>
        <v>7.1206366410995711E-4</v>
      </c>
      <c r="E114" s="167">
        <f>Markaz!E114+Avenue!E114</f>
        <v>186.17021276595744</v>
      </c>
      <c r="F114" s="521">
        <f t="shared" si="46"/>
        <v>9.1524710808788511E-4</v>
      </c>
      <c r="G114" s="167">
        <f>Markaz!G114+Avenue!G114</f>
        <v>186.17021276595744</v>
      </c>
      <c r="H114" s="521">
        <f t="shared" si="47"/>
        <v>5.5175997375366784E-4</v>
      </c>
      <c r="I114" s="167">
        <f>Markaz!I114+Avenue!I114</f>
        <v>186.17021276595744</v>
      </c>
      <c r="J114" s="521">
        <f t="shared" si="48"/>
        <v>6.2487379430337922E-4</v>
      </c>
      <c r="K114" s="167">
        <f>Markaz!K114+Avenue!K114</f>
        <v>186.17021276595744</v>
      </c>
      <c r="L114" s="521">
        <f t="shared" si="49"/>
        <v>6.8321945325650003E-4</v>
      </c>
      <c r="M114" s="167">
        <f>Markaz!M114+Avenue!M114</f>
        <v>0</v>
      </c>
      <c r="N114" s="521">
        <f t="shared" si="50"/>
        <v>0</v>
      </c>
      <c r="O114" s="167">
        <f>Markaz!O114+Avenue!O114</f>
        <v>186.17021276595744</v>
      </c>
      <c r="P114" s="521">
        <f t="shared" si="51"/>
        <v>7.6104213543954984E-4</v>
      </c>
      <c r="Q114" s="167">
        <f>Markaz!Q114+Avenue!Q114</f>
        <v>186.17021276595744</v>
      </c>
      <c r="R114" s="168">
        <f t="shared" si="52"/>
        <v>6.1288411779243125E-4</v>
      </c>
      <c r="S114" s="167">
        <f>Markaz!S114+Avenue!S114</f>
        <v>186.17021276595744</v>
      </c>
      <c r="T114" s="168">
        <f t="shared" si="53"/>
        <v>6.0839460620857916E-4</v>
      </c>
      <c r="U114" s="167">
        <f>Markaz!U114+Avenue!U114</f>
        <v>186.17021276595744</v>
      </c>
      <c r="V114" s="168">
        <f t="shared" si="54"/>
        <v>7.6700655347810242E-4</v>
      </c>
      <c r="W114" s="167">
        <f>Markaz!W114+Avenue!W114</f>
        <v>186.17021276595744</v>
      </c>
      <c r="X114" s="168">
        <f t="shared" si="55"/>
        <v>7.5385811506119835E-4</v>
      </c>
      <c r="Y114" s="167">
        <f>Markaz!Y114+Avenue!Y114</f>
        <v>0</v>
      </c>
      <c r="Z114" s="168">
        <f t="shared" si="56"/>
        <v>0</v>
      </c>
      <c r="AA114" s="302">
        <f t="shared" si="57"/>
        <v>1861.7021276595742</v>
      </c>
      <c r="AB114" s="168">
        <f t="shared" si="58"/>
        <v>5.3555386890598354E-4</v>
      </c>
      <c r="AC114" s="302">
        <f t="shared" si="59"/>
        <v>155.14184397163118</v>
      </c>
      <c r="AD114" s="168">
        <f t="shared" si="60"/>
        <v>5.3555386890598354E-4</v>
      </c>
      <c r="AE114" s="75"/>
      <c r="AF114" s="158"/>
      <c r="AG114" s="75"/>
      <c r="AH114" s="527"/>
      <c r="AI114" s="244"/>
      <c r="AJ114" s="282"/>
      <c r="AK114" s="53"/>
      <c r="AL114" s="53"/>
      <c r="AM114" s="53"/>
      <c r="AN114" s="53"/>
      <c r="AO114" s="53"/>
    </row>
    <row r="115" spans="1:41" ht="15.75" thickBot="1">
      <c r="A115" s="4">
        <v>6399</v>
      </c>
      <c r="B115" s="109" t="s">
        <v>101</v>
      </c>
      <c r="C115" s="161">
        <f>Markaz!C115+Avenue!C115</f>
        <v>8977.6425771688828</v>
      </c>
      <c r="D115" s="162">
        <f t="shared" si="45"/>
        <v>3.4337679339739011E-2</v>
      </c>
      <c r="E115" s="165">
        <f>Markaz!E115+Avenue!E115</f>
        <v>12952.887471984774</v>
      </c>
      <c r="F115" s="162">
        <f t="shared" si="46"/>
        <v>6.3678784183511708E-2</v>
      </c>
      <c r="G115" s="165">
        <f>Markaz!G115+Avenue!G115</f>
        <v>10124.78635315951</v>
      </c>
      <c r="H115" s="162">
        <f t="shared" si="47"/>
        <v>3.0007227093325362E-2</v>
      </c>
      <c r="I115" s="165">
        <f>Markaz!I115+Avenue!I115</f>
        <v>11444.074498186925</v>
      </c>
      <c r="J115" s="162">
        <f t="shared" si="48"/>
        <v>3.8411634964195703E-2</v>
      </c>
      <c r="K115" s="165">
        <f>Markaz!K115+Avenue!K115</f>
        <v>13536.141304751538</v>
      </c>
      <c r="L115" s="162">
        <f t="shared" si="49"/>
        <v>4.9675804329994105E-2</v>
      </c>
      <c r="M115" s="165">
        <f>Markaz!M115+Avenue!M115</f>
        <v>1897.6480501420433</v>
      </c>
      <c r="N115" s="162">
        <f t="shared" si="50"/>
        <v>4.9112688675908324E-3</v>
      </c>
      <c r="O115" s="165">
        <f>Markaz!O115+Avenue!O115</f>
        <v>9115.4519952023365</v>
      </c>
      <c r="P115" s="162">
        <f t="shared" si="51"/>
        <v>3.7262905536056927E-2</v>
      </c>
      <c r="Q115" s="161">
        <f>Markaz!Q115+Avenue!Q115</f>
        <v>13374.708722138468</v>
      </c>
      <c r="R115" s="162">
        <f t="shared" si="52"/>
        <v>4.4030387214540896E-2</v>
      </c>
      <c r="S115" s="161">
        <f>Markaz!S115+Avenue!S115</f>
        <v>11004.760718570089</v>
      </c>
      <c r="T115" s="162">
        <f t="shared" si="53"/>
        <v>3.5962987656951113E-2</v>
      </c>
      <c r="U115" s="161">
        <f>Markaz!U115+Avenue!U115</f>
        <v>11179.942637477317</v>
      </c>
      <c r="V115" s="162">
        <f t="shared" si="54"/>
        <v>4.6060479509869148E-2</v>
      </c>
      <c r="W115" s="161">
        <f>Markaz!W115+Avenue!W115</f>
        <v>9072.1607091436781</v>
      </c>
      <c r="X115" s="162">
        <f t="shared" si="55"/>
        <v>3.6735855162421026E-2</v>
      </c>
      <c r="Y115" s="161">
        <f>Markaz!Y115+Avenue!Y115</f>
        <v>9751.6266749683673</v>
      </c>
      <c r="Z115" s="216">
        <f t="shared" si="56"/>
        <v>2.6138987124993487E-2</v>
      </c>
      <c r="AA115" s="200">
        <f t="shared" si="57"/>
        <v>122431.83171289394</v>
      </c>
      <c r="AB115" s="234">
        <f t="shared" si="58"/>
        <v>3.5219834675440834E-2</v>
      </c>
      <c r="AC115" s="199">
        <f t="shared" si="59"/>
        <v>10202.652642741161</v>
      </c>
      <c r="AD115" s="234">
        <f t="shared" si="60"/>
        <v>3.5219834675440834E-2</v>
      </c>
      <c r="AE115" s="75"/>
      <c r="AF115" s="158"/>
      <c r="AG115" s="75"/>
      <c r="AH115" s="199">
        <f>SUM(AH94:AH107)</f>
        <v>36469.838933130704</v>
      </c>
      <c r="AI115" s="248">
        <f>AH115/AH12</f>
        <v>4.5291198961105346E-2</v>
      </c>
      <c r="AJ115" s="286">
        <f t="shared" si="41"/>
        <v>169104.32328876579</v>
      </c>
      <c r="AK115" s="53">
        <f t="shared" si="42"/>
        <v>0</v>
      </c>
      <c r="AL115" s="53">
        <f t="shared" si="43"/>
        <v>122431.83171289394</v>
      </c>
      <c r="AM115" s="53">
        <f t="shared" si="44"/>
        <v>944712.23563915864</v>
      </c>
      <c r="AN115" s="53" t="e">
        <f>#REF!-AM115</f>
        <v>#REF!</v>
      </c>
      <c r="AO115" s="53"/>
    </row>
    <row r="116" spans="1:41" ht="15.75" thickTop="1">
      <c r="A116" s="16">
        <v>6401</v>
      </c>
      <c r="B116" s="107" t="s">
        <v>89</v>
      </c>
      <c r="C116" s="130">
        <f>Markaz!C116+Avenue!C116</f>
        <v>0</v>
      </c>
      <c r="D116" s="49">
        <f t="shared" si="45"/>
        <v>0</v>
      </c>
      <c r="E116" s="524">
        <f>Markaz!E116+Avenue!E116</f>
        <v>0</v>
      </c>
      <c r="F116" s="521">
        <f t="shared" si="46"/>
        <v>0</v>
      </c>
      <c r="G116" s="24">
        <f>Markaz!G116+Avenue!G116</f>
        <v>0</v>
      </c>
      <c r="H116" s="49">
        <f t="shared" si="47"/>
        <v>0</v>
      </c>
      <c r="I116" s="524">
        <f>Markaz!I116+Avenue!I116</f>
        <v>0</v>
      </c>
      <c r="J116" s="521">
        <f t="shared" si="48"/>
        <v>0</v>
      </c>
      <c r="K116" s="24">
        <f>Markaz!K116+Avenue!K116</f>
        <v>0</v>
      </c>
      <c r="L116" s="49">
        <f t="shared" si="49"/>
        <v>0</v>
      </c>
      <c r="M116" s="130">
        <f>Markaz!M116+Avenue!M116</f>
        <v>0</v>
      </c>
      <c r="N116" s="49">
        <f t="shared" si="50"/>
        <v>0</v>
      </c>
      <c r="O116" s="130">
        <f>Markaz!O116+Avenue!O116</f>
        <v>0</v>
      </c>
      <c r="P116" s="49">
        <f t="shared" si="51"/>
        <v>0</v>
      </c>
      <c r="Q116" s="130">
        <f>Markaz!Q116+Avenue!Q116</f>
        <v>0</v>
      </c>
      <c r="R116" s="49">
        <f t="shared" si="52"/>
        <v>0</v>
      </c>
      <c r="S116" s="130">
        <f>Markaz!S116+Avenue!S116</f>
        <v>0</v>
      </c>
      <c r="T116" s="49">
        <f t="shared" si="53"/>
        <v>0</v>
      </c>
      <c r="U116" s="130">
        <f>Markaz!U116+Avenue!U116</f>
        <v>0</v>
      </c>
      <c r="V116" s="49">
        <f t="shared" si="54"/>
        <v>0</v>
      </c>
      <c r="W116" s="130">
        <f>Markaz!W116+Avenue!W116</f>
        <v>0</v>
      </c>
      <c r="X116" s="49">
        <f t="shared" si="55"/>
        <v>0</v>
      </c>
      <c r="Y116" s="130">
        <f>Markaz!Y116+Avenue!Y116</f>
        <v>0</v>
      </c>
      <c r="Z116" s="168">
        <f t="shared" si="56"/>
        <v>0</v>
      </c>
      <c r="AA116" s="275">
        <f t="shared" si="57"/>
        <v>0</v>
      </c>
      <c r="AB116" s="203">
        <f t="shared" si="58"/>
        <v>0</v>
      </c>
      <c r="AC116" s="194">
        <f t="shared" si="59"/>
        <v>0</v>
      </c>
      <c r="AD116" s="203">
        <f t="shared" si="60"/>
        <v>0</v>
      </c>
      <c r="AE116" s="75"/>
      <c r="AF116" s="158"/>
      <c r="AG116" s="75"/>
      <c r="AH116" s="194"/>
      <c r="AI116" s="244">
        <f>AH116/AH12</f>
        <v>0</v>
      </c>
      <c r="AJ116" s="282">
        <f t="shared" ref="AJ116:AJ152" si="61">SUM(AA116+AC116+AH116)</f>
        <v>0</v>
      </c>
      <c r="AK116" s="53">
        <f t="shared" ref="AK116:AK148" si="62">AA116-AL116</f>
        <v>0</v>
      </c>
      <c r="AL116" s="53">
        <f t="shared" si="43"/>
        <v>0</v>
      </c>
      <c r="AM116" s="53">
        <f t="shared" si="44"/>
        <v>0</v>
      </c>
      <c r="AN116" s="53" t="e">
        <f>#REF!-AM116</f>
        <v>#REF!</v>
      </c>
      <c r="AO116" s="53"/>
    </row>
    <row r="117" spans="1:41">
      <c r="A117" s="98">
        <v>6402</v>
      </c>
      <c r="B117" s="2" t="s">
        <v>75</v>
      </c>
      <c r="C117" s="23">
        <f>Markaz!C117+Avenue!C117</f>
        <v>100</v>
      </c>
      <c r="D117" s="49">
        <f t="shared" si="45"/>
        <v>3.8247991100763415E-4</v>
      </c>
      <c r="E117" s="23">
        <f>Markaz!E117+Avenue!E117</f>
        <v>100</v>
      </c>
      <c r="F117" s="49">
        <f t="shared" si="46"/>
        <v>4.9161844663006397E-4</v>
      </c>
      <c r="G117" s="23">
        <f>Markaz!G117+Avenue!G117</f>
        <v>100</v>
      </c>
      <c r="H117" s="49">
        <f t="shared" si="47"/>
        <v>2.9637392875911302E-4</v>
      </c>
      <c r="I117" s="23">
        <f>Markaz!I117+Avenue!I117</f>
        <v>100</v>
      </c>
      <c r="J117" s="49">
        <f t="shared" si="48"/>
        <v>3.356464952258151E-4</v>
      </c>
      <c r="K117" s="23">
        <f>Markaz!K117+Avenue!K117</f>
        <v>100</v>
      </c>
      <c r="L117" s="49">
        <f t="shared" si="49"/>
        <v>3.6698644917777719E-4</v>
      </c>
      <c r="M117" s="23">
        <f>Markaz!M117+Avenue!M117</f>
        <v>100</v>
      </c>
      <c r="N117" s="49">
        <f t="shared" si="50"/>
        <v>2.5880820562185978E-4</v>
      </c>
      <c r="O117" s="23">
        <f>Markaz!O117+Avenue!O117</f>
        <v>100</v>
      </c>
      <c r="P117" s="49">
        <f t="shared" si="51"/>
        <v>4.0878834703610107E-4</v>
      </c>
      <c r="Q117" s="23">
        <f>Markaz!Q117+Avenue!Q117</f>
        <v>100</v>
      </c>
      <c r="R117" s="49">
        <f t="shared" si="52"/>
        <v>3.2920632612850595E-4</v>
      </c>
      <c r="S117" s="23">
        <f>Markaz!S117+Avenue!S117</f>
        <v>100</v>
      </c>
      <c r="T117" s="49">
        <f t="shared" si="53"/>
        <v>3.2679481704917966E-4</v>
      </c>
      <c r="U117" s="23">
        <f>Markaz!U117+Avenue!U117</f>
        <v>100</v>
      </c>
      <c r="V117" s="49">
        <f t="shared" si="54"/>
        <v>4.119920915825236E-4</v>
      </c>
      <c r="W117" s="23">
        <f>Markaz!W117+Avenue!W117</f>
        <v>100</v>
      </c>
      <c r="X117" s="49">
        <f t="shared" si="55"/>
        <v>4.0492950180430086E-4</v>
      </c>
      <c r="Y117" s="23">
        <f>Markaz!Y117+Avenue!Y117</f>
        <v>100</v>
      </c>
      <c r="Z117" s="168">
        <f t="shared" si="56"/>
        <v>2.6804745501681415E-4</v>
      </c>
      <c r="AA117" s="275">
        <f t="shared" si="57"/>
        <v>1200</v>
      </c>
      <c r="AB117" s="203">
        <f t="shared" si="58"/>
        <v>3.4520272235768546E-4</v>
      </c>
      <c r="AC117" s="196">
        <f t="shared" si="59"/>
        <v>100</v>
      </c>
      <c r="AD117" s="203">
        <f t="shared" si="60"/>
        <v>3.4520272235768546E-4</v>
      </c>
      <c r="AE117" s="159"/>
      <c r="AF117" s="227"/>
      <c r="AG117" s="75"/>
      <c r="AH117" s="196">
        <v>1100.269</v>
      </c>
      <c r="AI117" s="244">
        <f>AH117/AH12</f>
        <v>1.3664031333153633E-3</v>
      </c>
      <c r="AJ117" s="282">
        <f t="shared" si="61"/>
        <v>2400.2690000000002</v>
      </c>
      <c r="AK117" s="53">
        <f t="shared" si="62"/>
        <v>0</v>
      </c>
      <c r="AL117" s="53">
        <f t="shared" si="43"/>
        <v>1200</v>
      </c>
      <c r="AM117" s="53">
        <f t="shared" si="44"/>
        <v>9400</v>
      </c>
      <c r="AN117" s="53" t="e">
        <f>#REF!-AM117</f>
        <v>#REF!</v>
      </c>
      <c r="AO117" s="53"/>
    </row>
    <row r="118" spans="1:41" s="539" customFormat="1">
      <c r="A118" s="98">
        <v>6403</v>
      </c>
      <c r="B118" s="2" t="s">
        <v>270</v>
      </c>
      <c r="C118" s="541">
        <f>Markaz!C118+Avenue!C118</f>
        <v>0</v>
      </c>
      <c r="D118" s="521">
        <f t="shared" si="45"/>
        <v>0</v>
      </c>
      <c r="E118" s="541">
        <f>Markaz!E118+Avenue!E118</f>
        <v>0</v>
      </c>
      <c r="F118" s="521">
        <f t="shared" si="46"/>
        <v>0</v>
      </c>
      <c r="G118" s="541">
        <f>Markaz!G118+Avenue!G118</f>
        <v>0</v>
      </c>
      <c r="H118" s="521">
        <f t="shared" si="47"/>
        <v>0</v>
      </c>
      <c r="I118" s="541">
        <f>Markaz!I118+Avenue!I118</f>
        <v>0</v>
      </c>
      <c r="J118" s="521">
        <f t="shared" si="48"/>
        <v>0</v>
      </c>
      <c r="K118" s="541">
        <f>Markaz!K118+Avenue!K118</f>
        <v>0</v>
      </c>
      <c r="L118" s="521">
        <f t="shared" si="49"/>
        <v>0</v>
      </c>
      <c r="M118" s="541">
        <f>Markaz!M118+Avenue!M118</f>
        <v>0</v>
      </c>
      <c r="N118" s="521">
        <f t="shared" si="50"/>
        <v>0</v>
      </c>
      <c r="O118" s="541">
        <f>Markaz!O118+Avenue!O118</f>
        <v>0</v>
      </c>
      <c r="P118" s="521">
        <f t="shared" si="51"/>
        <v>0</v>
      </c>
      <c r="Q118" s="541">
        <f>Markaz!Q118+Avenue!Q118</f>
        <v>0</v>
      </c>
      <c r="R118" s="521">
        <f t="shared" si="52"/>
        <v>0</v>
      </c>
      <c r="S118" s="541">
        <f>Markaz!S118+Avenue!S118</f>
        <v>0</v>
      </c>
      <c r="T118" s="521">
        <f t="shared" si="53"/>
        <v>0</v>
      </c>
      <c r="U118" s="541">
        <f>Markaz!U118+Avenue!U118</f>
        <v>0</v>
      </c>
      <c r="V118" s="521">
        <f t="shared" si="54"/>
        <v>0</v>
      </c>
      <c r="W118" s="541">
        <f>Markaz!W118+Avenue!W118</f>
        <v>0</v>
      </c>
      <c r="X118" s="521">
        <f t="shared" si="55"/>
        <v>0</v>
      </c>
      <c r="Y118" s="541">
        <f>Markaz!Y118+Avenue!Y118</f>
        <v>0</v>
      </c>
      <c r="Z118" s="521">
        <f t="shared" si="56"/>
        <v>0</v>
      </c>
      <c r="AA118" s="510">
        <f t="shared" si="57"/>
        <v>0</v>
      </c>
      <c r="AB118" s="521">
        <f t="shared" si="58"/>
        <v>0</v>
      </c>
      <c r="AC118" s="526">
        <f t="shared" si="59"/>
        <v>0</v>
      </c>
      <c r="AD118" s="521">
        <f t="shared" si="60"/>
        <v>0</v>
      </c>
      <c r="AE118" s="159"/>
      <c r="AF118" s="227"/>
      <c r="AG118" s="542"/>
      <c r="AH118" s="526"/>
      <c r="AI118" s="244"/>
      <c r="AJ118" s="282"/>
      <c r="AK118" s="53"/>
      <c r="AL118" s="53"/>
      <c r="AM118" s="53"/>
      <c r="AN118" s="53"/>
      <c r="AO118" s="53"/>
    </row>
    <row r="119" spans="1:41">
      <c r="A119" s="98">
        <v>6404</v>
      </c>
      <c r="B119" s="2" t="s">
        <v>91</v>
      </c>
      <c r="C119" s="23">
        <f>Markaz!C119+Avenue!C119</f>
        <v>0</v>
      </c>
      <c r="D119" s="49">
        <f t="shared" si="45"/>
        <v>0</v>
      </c>
      <c r="E119" s="23">
        <f>Markaz!E119+Avenue!E119</f>
        <v>0</v>
      </c>
      <c r="F119" s="49">
        <f t="shared" si="46"/>
        <v>0</v>
      </c>
      <c r="G119" s="23">
        <f>Markaz!G119+Avenue!G119</f>
        <v>0</v>
      </c>
      <c r="H119" s="49">
        <f t="shared" si="47"/>
        <v>0</v>
      </c>
      <c r="I119" s="23">
        <f>Markaz!I119+Avenue!I119</f>
        <v>0</v>
      </c>
      <c r="J119" s="49">
        <f t="shared" si="48"/>
        <v>0</v>
      </c>
      <c r="K119" s="23">
        <f>Markaz!K119+Avenue!K119</f>
        <v>0</v>
      </c>
      <c r="L119" s="49">
        <f t="shared" si="49"/>
        <v>0</v>
      </c>
      <c r="M119" s="23">
        <f>Markaz!M119+Avenue!M119</f>
        <v>0</v>
      </c>
      <c r="N119" s="49">
        <f t="shared" si="50"/>
        <v>0</v>
      </c>
      <c r="O119" s="23">
        <f>Markaz!O119+Avenue!O119</f>
        <v>0</v>
      </c>
      <c r="P119" s="49">
        <f t="shared" si="51"/>
        <v>0</v>
      </c>
      <c r="Q119" s="23">
        <f>Markaz!Q119+Avenue!Q119</f>
        <v>0</v>
      </c>
      <c r="R119" s="49">
        <f t="shared" si="52"/>
        <v>0</v>
      </c>
      <c r="S119" s="23">
        <f>Markaz!S119+Avenue!S119</f>
        <v>0</v>
      </c>
      <c r="T119" s="49">
        <f t="shared" si="53"/>
        <v>0</v>
      </c>
      <c r="U119" s="23">
        <f>Markaz!U119+Avenue!U119</f>
        <v>0</v>
      </c>
      <c r="V119" s="49">
        <f t="shared" si="54"/>
        <v>0</v>
      </c>
      <c r="W119" s="23">
        <f>Markaz!W119+Avenue!W119</f>
        <v>0</v>
      </c>
      <c r="X119" s="49">
        <f t="shared" si="55"/>
        <v>0</v>
      </c>
      <c r="Y119" s="23">
        <f>Markaz!Y119+Avenue!Y119</f>
        <v>0</v>
      </c>
      <c r="Z119" s="168">
        <f t="shared" si="56"/>
        <v>0</v>
      </c>
      <c r="AA119" s="275">
        <f t="shared" si="57"/>
        <v>0</v>
      </c>
      <c r="AB119" s="203">
        <f t="shared" si="58"/>
        <v>0</v>
      </c>
      <c r="AC119" s="526">
        <f t="shared" si="59"/>
        <v>0</v>
      </c>
      <c r="AD119" s="203">
        <f t="shared" si="60"/>
        <v>0</v>
      </c>
      <c r="AE119" s="159"/>
      <c r="AF119" s="227"/>
      <c r="AG119" s="75"/>
      <c r="AH119" s="196">
        <v>0</v>
      </c>
      <c r="AI119" s="244">
        <f>AH119/AH12</f>
        <v>0</v>
      </c>
      <c r="AJ119" s="282">
        <f t="shared" si="61"/>
        <v>0</v>
      </c>
      <c r="AK119" s="53">
        <f t="shared" si="62"/>
        <v>0</v>
      </c>
      <c r="AL119" s="53">
        <f t="shared" si="43"/>
        <v>0</v>
      </c>
      <c r="AM119" s="53">
        <f t="shared" si="44"/>
        <v>0</v>
      </c>
      <c r="AN119" s="53" t="e">
        <f>#REF!-AM119</f>
        <v>#REF!</v>
      </c>
      <c r="AO119" s="53"/>
    </row>
    <row r="120" spans="1:41">
      <c r="A120" s="98">
        <v>6406</v>
      </c>
      <c r="B120" s="2" t="s">
        <v>73</v>
      </c>
      <c r="C120" s="18">
        <f>Markaz!C120+Avenue!C120</f>
        <v>150</v>
      </c>
      <c r="D120" s="49">
        <f t="shared" si="45"/>
        <v>5.7371986651145123E-4</v>
      </c>
      <c r="E120" s="18">
        <f>Markaz!E120+Avenue!E120</f>
        <v>150</v>
      </c>
      <c r="F120" s="49">
        <f t="shared" si="46"/>
        <v>7.3742766994509595E-4</v>
      </c>
      <c r="G120" s="18">
        <f>Markaz!G120+Avenue!G120</f>
        <v>150</v>
      </c>
      <c r="H120" s="49">
        <f t="shared" si="47"/>
        <v>4.4456089313866951E-4</v>
      </c>
      <c r="I120" s="18">
        <f>Markaz!I120+Avenue!I120</f>
        <v>150</v>
      </c>
      <c r="J120" s="49">
        <f t="shared" si="48"/>
        <v>5.034697428387227E-4</v>
      </c>
      <c r="K120" s="18">
        <f>Markaz!K120+Avenue!K120</f>
        <v>150</v>
      </c>
      <c r="L120" s="49">
        <f t="shared" si="49"/>
        <v>5.5047967376666582E-4</v>
      </c>
      <c r="M120" s="18">
        <f>Markaz!M120+Avenue!M120</f>
        <v>150</v>
      </c>
      <c r="N120" s="49">
        <f t="shared" si="50"/>
        <v>3.882123084327897E-4</v>
      </c>
      <c r="O120" s="18">
        <f>Markaz!O120+Avenue!O120</f>
        <v>150</v>
      </c>
      <c r="P120" s="49">
        <f t="shared" si="51"/>
        <v>6.1318252055415164E-4</v>
      </c>
      <c r="Q120" s="18">
        <f>Markaz!Q120+Avenue!Q120</f>
        <v>150</v>
      </c>
      <c r="R120" s="49">
        <f t="shared" si="52"/>
        <v>4.9380948919275889E-4</v>
      </c>
      <c r="S120" s="18">
        <f>Markaz!S120+Avenue!S120</f>
        <v>150</v>
      </c>
      <c r="T120" s="49">
        <f t="shared" si="53"/>
        <v>4.9019222557376949E-4</v>
      </c>
      <c r="U120" s="18">
        <f>Markaz!U120+Avenue!U120</f>
        <v>150</v>
      </c>
      <c r="V120" s="49">
        <f t="shared" si="54"/>
        <v>6.1798813737378539E-4</v>
      </c>
      <c r="W120" s="18">
        <f>Markaz!W120+Avenue!W120</f>
        <v>150</v>
      </c>
      <c r="X120" s="49">
        <f t="shared" si="55"/>
        <v>6.0739425270645128E-4</v>
      </c>
      <c r="Y120" s="18">
        <f>Markaz!Y120+Avenue!Y120</f>
        <v>150</v>
      </c>
      <c r="Z120" s="168">
        <f t="shared" si="56"/>
        <v>4.0207118252522128E-4</v>
      </c>
      <c r="AA120" s="275">
        <f t="shared" si="57"/>
        <v>1800</v>
      </c>
      <c r="AB120" s="203">
        <f t="shared" si="58"/>
        <v>5.1780408353652824E-4</v>
      </c>
      <c r="AC120" s="194">
        <f t="shared" si="59"/>
        <v>150</v>
      </c>
      <c r="AD120" s="203">
        <f t="shared" si="60"/>
        <v>5.1780408353652824E-4</v>
      </c>
      <c r="AE120" s="159"/>
      <c r="AF120" s="227"/>
      <c r="AG120" s="75"/>
      <c r="AH120" s="194">
        <v>0</v>
      </c>
      <c r="AI120" s="244">
        <f>AH120/AH12</f>
        <v>0</v>
      </c>
      <c r="AJ120" s="282">
        <f t="shared" si="61"/>
        <v>1950</v>
      </c>
      <c r="AK120" s="53">
        <f t="shared" si="62"/>
        <v>0</v>
      </c>
      <c r="AL120" s="53">
        <f t="shared" si="43"/>
        <v>1800</v>
      </c>
      <c r="AM120" s="53">
        <f t="shared" si="44"/>
        <v>14100</v>
      </c>
      <c r="AN120" s="53" t="e">
        <f>#REF!-AM120</f>
        <v>#REF!</v>
      </c>
      <c r="AO120" s="53"/>
    </row>
    <row r="121" spans="1:41">
      <c r="A121" s="2">
        <v>6407</v>
      </c>
      <c r="B121" s="108" t="s">
        <v>74</v>
      </c>
      <c r="C121" s="130">
        <f>Markaz!C121+Avenue!C121</f>
        <v>0</v>
      </c>
      <c r="D121" s="49">
        <f t="shared" si="45"/>
        <v>0</v>
      </c>
      <c r="E121" s="130">
        <f>Markaz!E121+Avenue!E121</f>
        <v>0</v>
      </c>
      <c r="F121" s="49">
        <f t="shared" si="46"/>
        <v>0</v>
      </c>
      <c r="G121" s="130">
        <f>Markaz!G121+Avenue!G121</f>
        <v>0</v>
      </c>
      <c r="H121" s="49">
        <f t="shared" si="47"/>
        <v>0</v>
      </c>
      <c r="I121" s="130">
        <f>Markaz!I121+Avenue!I121</f>
        <v>0</v>
      </c>
      <c r="J121" s="49">
        <f t="shared" si="48"/>
        <v>0</v>
      </c>
      <c r="K121" s="130">
        <f>Markaz!K121+Avenue!K121</f>
        <v>0</v>
      </c>
      <c r="L121" s="49">
        <f t="shared" si="49"/>
        <v>0</v>
      </c>
      <c r="M121" s="130">
        <f>Markaz!M121+Avenue!M121</f>
        <v>0</v>
      </c>
      <c r="N121" s="49">
        <f t="shared" si="50"/>
        <v>0</v>
      </c>
      <c r="O121" s="130">
        <f>Markaz!O121+Avenue!O121</f>
        <v>0</v>
      </c>
      <c r="P121" s="49">
        <f t="shared" si="51"/>
        <v>0</v>
      </c>
      <c r="Q121" s="130">
        <f>Markaz!Q121+Avenue!Q121</f>
        <v>0</v>
      </c>
      <c r="R121" s="49">
        <f t="shared" si="52"/>
        <v>0</v>
      </c>
      <c r="S121" s="130">
        <f>Markaz!S121+Avenue!S121</f>
        <v>0</v>
      </c>
      <c r="T121" s="49">
        <f t="shared" si="53"/>
        <v>0</v>
      </c>
      <c r="U121" s="130">
        <f>Markaz!U121+Avenue!U121</f>
        <v>0</v>
      </c>
      <c r="V121" s="49">
        <f t="shared" si="54"/>
        <v>0</v>
      </c>
      <c r="W121" s="130">
        <f>Markaz!W121+Avenue!W121</f>
        <v>0</v>
      </c>
      <c r="X121" s="49">
        <f t="shared" si="55"/>
        <v>0</v>
      </c>
      <c r="Y121" s="130">
        <f>Markaz!Y121+Avenue!Y121</f>
        <v>0</v>
      </c>
      <c r="Z121" s="168">
        <f t="shared" si="56"/>
        <v>0</v>
      </c>
      <c r="AA121" s="275">
        <f t="shared" si="57"/>
        <v>0</v>
      </c>
      <c r="AB121" s="203">
        <f t="shared" si="58"/>
        <v>0</v>
      </c>
      <c r="AC121" s="194">
        <f t="shared" si="59"/>
        <v>0</v>
      </c>
      <c r="AD121" s="203">
        <f t="shared" si="60"/>
        <v>0</v>
      </c>
      <c r="AE121" s="159"/>
      <c r="AF121" s="227"/>
      <c r="AG121" s="75"/>
      <c r="AH121" s="194">
        <v>0</v>
      </c>
      <c r="AI121" s="244">
        <f>AH121/AH12</f>
        <v>0</v>
      </c>
      <c r="AJ121" s="282">
        <f t="shared" si="61"/>
        <v>0</v>
      </c>
      <c r="AK121" s="53">
        <f t="shared" si="62"/>
        <v>0</v>
      </c>
      <c r="AL121" s="53">
        <f t="shared" si="43"/>
        <v>0</v>
      </c>
      <c r="AM121" s="53">
        <f t="shared" si="44"/>
        <v>0</v>
      </c>
      <c r="AN121" s="53" t="e">
        <f>#REF!-AM121</f>
        <v>#REF!</v>
      </c>
      <c r="AO121" s="53"/>
    </row>
    <row r="122" spans="1:41">
      <c r="A122" s="2">
        <v>6408</v>
      </c>
      <c r="B122" s="108" t="s">
        <v>43</v>
      </c>
      <c r="C122" s="130">
        <f>Markaz!C122+Avenue!C122</f>
        <v>0</v>
      </c>
      <c r="D122" s="49">
        <f t="shared" si="45"/>
        <v>0</v>
      </c>
      <c r="E122" s="130">
        <f>Markaz!E122+Avenue!E122</f>
        <v>0</v>
      </c>
      <c r="F122" s="49">
        <f t="shared" si="46"/>
        <v>0</v>
      </c>
      <c r="G122" s="130">
        <f>Markaz!G122+Avenue!G122</f>
        <v>0</v>
      </c>
      <c r="H122" s="49">
        <f t="shared" si="47"/>
        <v>0</v>
      </c>
      <c r="I122" s="130">
        <f>Markaz!I122+Avenue!I122</f>
        <v>0</v>
      </c>
      <c r="J122" s="49">
        <f t="shared" si="48"/>
        <v>0</v>
      </c>
      <c r="K122" s="130">
        <f>Markaz!K122+Avenue!K122</f>
        <v>0</v>
      </c>
      <c r="L122" s="49">
        <f t="shared" si="49"/>
        <v>0</v>
      </c>
      <c r="M122" s="130">
        <f>Markaz!M122+Avenue!M122</f>
        <v>0</v>
      </c>
      <c r="N122" s="49">
        <f t="shared" si="50"/>
        <v>0</v>
      </c>
      <c r="O122" s="130">
        <f>Markaz!O122+Avenue!O122</f>
        <v>0</v>
      </c>
      <c r="P122" s="49">
        <f t="shared" si="51"/>
        <v>0</v>
      </c>
      <c r="Q122" s="130">
        <f>Markaz!Q122+Avenue!Q122</f>
        <v>0</v>
      </c>
      <c r="R122" s="49">
        <f t="shared" si="52"/>
        <v>0</v>
      </c>
      <c r="S122" s="130">
        <f>Markaz!S122+Avenue!S122</f>
        <v>0</v>
      </c>
      <c r="T122" s="49">
        <f t="shared" si="53"/>
        <v>0</v>
      </c>
      <c r="U122" s="130">
        <f>Markaz!U122+Avenue!U122</f>
        <v>0</v>
      </c>
      <c r="V122" s="49">
        <f t="shared" si="54"/>
        <v>0</v>
      </c>
      <c r="W122" s="130">
        <f>Markaz!W122+Avenue!W122</f>
        <v>0</v>
      </c>
      <c r="X122" s="49">
        <f t="shared" si="55"/>
        <v>0</v>
      </c>
      <c r="Y122" s="130">
        <f>Markaz!Y122+Avenue!Y122</f>
        <v>0</v>
      </c>
      <c r="Z122" s="168">
        <f t="shared" si="56"/>
        <v>0</v>
      </c>
      <c r="AA122" s="275">
        <f t="shared" si="57"/>
        <v>0</v>
      </c>
      <c r="AB122" s="203">
        <f t="shared" si="58"/>
        <v>0</v>
      </c>
      <c r="AC122" s="194">
        <f t="shared" si="59"/>
        <v>0</v>
      </c>
      <c r="AD122" s="203">
        <f t="shared" si="60"/>
        <v>0</v>
      </c>
      <c r="AE122" s="159"/>
      <c r="AF122" s="227"/>
      <c r="AG122" s="75"/>
      <c r="AH122" s="194">
        <v>0</v>
      </c>
      <c r="AI122" s="244">
        <f>AH122/AH12</f>
        <v>0</v>
      </c>
      <c r="AJ122" s="282">
        <f t="shared" si="61"/>
        <v>0</v>
      </c>
      <c r="AK122" s="53">
        <f t="shared" si="62"/>
        <v>0</v>
      </c>
      <c r="AL122" s="53">
        <f t="shared" si="43"/>
        <v>0</v>
      </c>
      <c r="AM122" s="53">
        <f t="shared" si="44"/>
        <v>0</v>
      </c>
      <c r="AN122" s="53" t="e">
        <f>#REF!-AM122</f>
        <v>#REF!</v>
      </c>
      <c r="AO122" s="53"/>
    </row>
    <row r="123" spans="1:41">
      <c r="A123" s="2">
        <v>6410</v>
      </c>
      <c r="B123" s="108" t="s">
        <v>105</v>
      </c>
      <c r="C123" s="130">
        <f>Markaz!C123+Avenue!C123</f>
        <v>0</v>
      </c>
      <c r="D123" s="49">
        <f t="shared" si="45"/>
        <v>0</v>
      </c>
      <c r="E123" s="130">
        <f>Markaz!E123+Avenue!E123</f>
        <v>0</v>
      </c>
      <c r="F123" s="49">
        <f t="shared" si="46"/>
        <v>0</v>
      </c>
      <c r="G123" s="130">
        <f>Markaz!G123+Avenue!G123</f>
        <v>0</v>
      </c>
      <c r="H123" s="49">
        <f t="shared" si="47"/>
        <v>0</v>
      </c>
      <c r="I123" s="130">
        <f>Markaz!I123+Avenue!I123</f>
        <v>0</v>
      </c>
      <c r="J123" s="49">
        <f t="shared" si="48"/>
        <v>0</v>
      </c>
      <c r="K123" s="130">
        <f>Markaz!K123+Avenue!K123</f>
        <v>0</v>
      </c>
      <c r="L123" s="49">
        <f t="shared" si="49"/>
        <v>0</v>
      </c>
      <c r="M123" s="130">
        <f>Markaz!M123+Avenue!M123</f>
        <v>0</v>
      </c>
      <c r="N123" s="49">
        <f t="shared" si="50"/>
        <v>0</v>
      </c>
      <c r="O123" s="130">
        <f>Markaz!O123+Avenue!O123</f>
        <v>0</v>
      </c>
      <c r="P123" s="49">
        <f t="shared" si="51"/>
        <v>0</v>
      </c>
      <c r="Q123" s="130">
        <f>Markaz!Q123+Avenue!Q123</f>
        <v>0</v>
      </c>
      <c r="R123" s="49">
        <f t="shared" si="52"/>
        <v>0</v>
      </c>
      <c r="S123" s="130">
        <f>Markaz!S123+Avenue!S123</f>
        <v>0</v>
      </c>
      <c r="T123" s="49">
        <f t="shared" si="53"/>
        <v>0</v>
      </c>
      <c r="U123" s="130">
        <f>Markaz!U123+Avenue!U123</f>
        <v>0</v>
      </c>
      <c r="V123" s="49">
        <f t="shared" si="54"/>
        <v>0</v>
      </c>
      <c r="W123" s="130">
        <f>Markaz!W123+Avenue!W123</f>
        <v>0</v>
      </c>
      <c r="X123" s="49">
        <f t="shared" si="55"/>
        <v>0</v>
      </c>
      <c r="Y123" s="130">
        <f>Markaz!Y123+Avenue!Y123</f>
        <v>0</v>
      </c>
      <c r="Z123" s="168">
        <f t="shared" si="56"/>
        <v>0</v>
      </c>
      <c r="AA123" s="275">
        <f t="shared" si="57"/>
        <v>0</v>
      </c>
      <c r="AB123" s="203">
        <f t="shared" si="58"/>
        <v>0</v>
      </c>
      <c r="AC123" s="194">
        <f t="shared" si="59"/>
        <v>0</v>
      </c>
      <c r="AD123" s="203">
        <f t="shared" si="60"/>
        <v>0</v>
      </c>
      <c r="AE123" s="159"/>
      <c r="AF123" s="227"/>
      <c r="AG123" s="75"/>
      <c r="AH123" s="194">
        <v>0</v>
      </c>
      <c r="AI123" s="244"/>
      <c r="AJ123" s="282">
        <f t="shared" si="61"/>
        <v>0</v>
      </c>
      <c r="AK123" s="53">
        <f t="shared" si="62"/>
        <v>0</v>
      </c>
      <c r="AL123" s="53">
        <f t="shared" si="43"/>
        <v>0</v>
      </c>
      <c r="AM123" s="53">
        <f t="shared" ref="AM123:AM147" si="63">G123*9.4+I123*9.4+K123*9.4+M123*9.4+O123*9.4+Q123*9.4+S123*9.4+U123*9.4+W123*9.4+Y123*9.4</f>
        <v>0</v>
      </c>
      <c r="AN123" s="53" t="e">
        <f>#REF!-AM123</f>
        <v>#REF!</v>
      </c>
      <c r="AO123" s="53"/>
    </row>
    <row r="124" spans="1:41">
      <c r="A124" s="2">
        <v>6411</v>
      </c>
      <c r="B124" s="108" t="s">
        <v>107</v>
      </c>
      <c r="C124" s="130">
        <f>Markaz!C124+Avenue!C124</f>
        <v>0</v>
      </c>
      <c r="D124" s="49">
        <f t="shared" si="45"/>
        <v>0</v>
      </c>
      <c r="E124" s="130">
        <f>Markaz!E124+Avenue!E124</f>
        <v>0</v>
      </c>
      <c r="F124" s="49">
        <f t="shared" si="46"/>
        <v>0</v>
      </c>
      <c r="G124" s="130">
        <f>Markaz!G124+Avenue!G124</f>
        <v>0</v>
      </c>
      <c r="H124" s="49">
        <f t="shared" si="47"/>
        <v>0</v>
      </c>
      <c r="I124" s="130">
        <f>Markaz!I124+Avenue!I124</f>
        <v>0</v>
      </c>
      <c r="J124" s="49">
        <f t="shared" si="48"/>
        <v>0</v>
      </c>
      <c r="K124" s="130">
        <f>Markaz!K124+Avenue!K124</f>
        <v>0</v>
      </c>
      <c r="L124" s="49">
        <f t="shared" si="49"/>
        <v>0</v>
      </c>
      <c r="M124" s="130">
        <f>Markaz!M124+Avenue!M124</f>
        <v>0</v>
      </c>
      <c r="N124" s="49">
        <f t="shared" si="50"/>
        <v>0</v>
      </c>
      <c r="O124" s="130">
        <f>Markaz!O124+Avenue!O124</f>
        <v>0</v>
      </c>
      <c r="P124" s="49">
        <f t="shared" si="51"/>
        <v>0</v>
      </c>
      <c r="Q124" s="130">
        <f>Markaz!Q124+Avenue!Q124</f>
        <v>0</v>
      </c>
      <c r="R124" s="49">
        <f t="shared" si="52"/>
        <v>0</v>
      </c>
      <c r="S124" s="130">
        <f>Markaz!S124+Avenue!S124</f>
        <v>0</v>
      </c>
      <c r="T124" s="49">
        <f t="shared" si="53"/>
        <v>0</v>
      </c>
      <c r="U124" s="130">
        <f>Markaz!U124+Avenue!U124</f>
        <v>0</v>
      </c>
      <c r="V124" s="49">
        <f t="shared" si="54"/>
        <v>0</v>
      </c>
      <c r="W124" s="130">
        <f>Markaz!W124+Avenue!W124</f>
        <v>0</v>
      </c>
      <c r="X124" s="49">
        <f t="shared" si="55"/>
        <v>0</v>
      </c>
      <c r="Y124" s="130">
        <f>Markaz!Y124+Avenue!Y124</f>
        <v>0</v>
      </c>
      <c r="Z124" s="168">
        <f t="shared" si="56"/>
        <v>0</v>
      </c>
      <c r="AA124" s="275">
        <f t="shared" si="57"/>
        <v>0</v>
      </c>
      <c r="AB124" s="203">
        <f t="shared" si="58"/>
        <v>0</v>
      </c>
      <c r="AC124" s="194">
        <f t="shared" si="59"/>
        <v>0</v>
      </c>
      <c r="AD124" s="203">
        <f t="shared" si="60"/>
        <v>0</v>
      </c>
      <c r="AE124" s="159"/>
      <c r="AF124" s="227"/>
      <c r="AG124" s="75"/>
      <c r="AH124" s="194">
        <v>0</v>
      </c>
      <c r="AI124" s="244"/>
      <c r="AJ124" s="282">
        <f t="shared" si="61"/>
        <v>0</v>
      </c>
      <c r="AK124" s="53">
        <f t="shared" si="62"/>
        <v>0</v>
      </c>
      <c r="AL124" s="53">
        <f t="shared" si="43"/>
        <v>0</v>
      </c>
      <c r="AM124" s="53">
        <f t="shared" si="63"/>
        <v>0</v>
      </c>
      <c r="AN124" s="53" t="e">
        <f>#REF!-AM124</f>
        <v>#REF!</v>
      </c>
      <c r="AO124" s="53"/>
    </row>
    <row r="125" spans="1:41">
      <c r="A125" s="2">
        <v>6412</v>
      </c>
      <c r="B125" s="108" t="s">
        <v>92</v>
      </c>
      <c r="C125" s="130">
        <f>Markaz!C125+Avenue!C125</f>
        <v>0</v>
      </c>
      <c r="D125" s="49">
        <f t="shared" si="45"/>
        <v>0</v>
      </c>
      <c r="E125" s="130">
        <f>Markaz!E125+Avenue!E125</f>
        <v>0</v>
      </c>
      <c r="F125" s="49">
        <f t="shared" si="46"/>
        <v>0</v>
      </c>
      <c r="G125" s="130">
        <f>Markaz!G125+Avenue!G125</f>
        <v>0</v>
      </c>
      <c r="H125" s="49">
        <f t="shared" si="47"/>
        <v>0</v>
      </c>
      <c r="I125" s="130">
        <f>Markaz!I125+Avenue!I125</f>
        <v>0</v>
      </c>
      <c r="J125" s="49">
        <f t="shared" si="48"/>
        <v>0</v>
      </c>
      <c r="K125" s="130">
        <f>Markaz!K125+Avenue!K125</f>
        <v>0</v>
      </c>
      <c r="L125" s="49">
        <f t="shared" si="49"/>
        <v>0</v>
      </c>
      <c r="M125" s="130">
        <f>Markaz!M125+Avenue!M125</f>
        <v>0</v>
      </c>
      <c r="N125" s="49">
        <f t="shared" si="50"/>
        <v>0</v>
      </c>
      <c r="O125" s="130">
        <f>Markaz!O125+Avenue!O125</f>
        <v>0</v>
      </c>
      <c r="P125" s="49">
        <f t="shared" si="51"/>
        <v>0</v>
      </c>
      <c r="Q125" s="130">
        <f>Markaz!Q125+Avenue!Q125</f>
        <v>0</v>
      </c>
      <c r="R125" s="49">
        <f t="shared" si="52"/>
        <v>0</v>
      </c>
      <c r="S125" s="130">
        <f>Markaz!S125+Avenue!S125</f>
        <v>0</v>
      </c>
      <c r="T125" s="49">
        <f t="shared" si="53"/>
        <v>0</v>
      </c>
      <c r="U125" s="130">
        <f>Markaz!U125+Avenue!U125</f>
        <v>0</v>
      </c>
      <c r="V125" s="49">
        <f t="shared" si="54"/>
        <v>0</v>
      </c>
      <c r="W125" s="130">
        <f>Markaz!W125+Avenue!W125</f>
        <v>0</v>
      </c>
      <c r="X125" s="49">
        <f t="shared" si="55"/>
        <v>0</v>
      </c>
      <c r="Y125" s="130">
        <f>Markaz!Y125+Avenue!Y125</f>
        <v>0</v>
      </c>
      <c r="Z125" s="168">
        <f t="shared" si="56"/>
        <v>0</v>
      </c>
      <c r="AA125" s="275">
        <f t="shared" si="57"/>
        <v>0</v>
      </c>
      <c r="AB125" s="203">
        <f t="shared" si="58"/>
        <v>0</v>
      </c>
      <c r="AC125" s="194">
        <f t="shared" si="59"/>
        <v>0</v>
      </c>
      <c r="AD125" s="203">
        <f t="shared" si="60"/>
        <v>0</v>
      </c>
      <c r="AE125" s="159"/>
      <c r="AF125" s="227"/>
      <c r="AG125" s="75"/>
      <c r="AH125" s="194">
        <v>0</v>
      </c>
      <c r="AI125" s="244">
        <f>AH125/AH12</f>
        <v>0</v>
      </c>
      <c r="AJ125" s="282">
        <f t="shared" si="61"/>
        <v>0</v>
      </c>
      <c r="AK125" s="53">
        <f t="shared" si="62"/>
        <v>0</v>
      </c>
      <c r="AL125" s="53">
        <f t="shared" si="43"/>
        <v>0</v>
      </c>
      <c r="AM125" s="53">
        <f t="shared" si="63"/>
        <v>0</v>
      </c>
      <c r="AN125" s="53" t="e">
        <f>#REF!-AM125</f>
        <v>#REF!</v>
      </c>
      <c r="AO125" s="53"/>
    </row>
    <row r="126" spans="1:41">
      <c r="A126" s="2">
        <v>6413</v>
      </c>
      <c r="B126" s="2" t="s">
        <v>42</v>
      </c>
      <c r="C126" s="18">
        <f>Markaz!C126+Avenue!C126</f>
        <v>3137.41968</v>
      </c>
      <c r="D126" s="49">
        <f t="shared" si="45"/>
        <v>1.1999999999999999E-2</v>
      </c>
      <c r="E126" s="18">
        <f>Markaz!E126+Avenue!E126</f>
        <v>2440.9173582190319</v>
      </c>
      <c r="F126" s="49">
        <f t="shared" si="46"/>
        <v>1.2E-2</v>
      </c>
      <c r="G126" s="18">
        <f>Markaz!G126+Avenue!G126</f>
        <v>4048.9391392295402</v>
      </c>
      <c r="H126" s="49">
        <f t="shared" si="47"/>
        <v>1.2E-2</v>
      </c>
      <c r="I126" s="18">
        <f>Markaz!I126+Avenue!I126</f>
        <v>3575.1900200616365</v>
      </c>
      <c r="J126" s="49">
        <f t="shared" si="48"/>
        <v>1.1999999999999999E-2</v>
      </c>
      <c r="K126" s="18">
        <f>Markaz!K126+Avenue!K126</f>
        <v>3269.8755027292323</v>
      </c>
      <c r="L126" s="49">
        <f t="shared" si="49"/>
        <v>1.2E-2</v>
      </c>
      <c r="M126" s="18">
        <f>Markaz!M126+Avenue!M126</f>
        <v>4636.6381510843567</v>
      </c>
      <c r="N126" s="49">
        <f t="shared" si="50"/>
        <v>1.2E-2</v>
      </c>
      <c r="O126" s="18">
        <f>Markaz!O126+Avenue!O126</f>
        <v>2935.504421054412</v>
      </c>
      <c r="P126" s="49">
        <f t="shared" si="51"/>
        <v>1.1999999999999999E-2</v>
      </c>
      <c r="Q126" s="18">
        <f>Markaz!Q126+Avenue!Q126</f>
        <v>3645.1304387497676</v>
      </c>
      <c r="R126" s="49">
        <f t="shared" si="52"/>
        <v>1.1999999999999999E-2</v>
      </c>
      <c r="S126" s="18">
        <f>Markaz!S126+Avenue!S126</f>
        <v>3672.0288615208083</v>
      </c>
      <c r="T126" s="49">
        <f t="shared" si="53"/>
        <v>1.2E-2</v>
      </c>
      <c r="U126" s="18">
        <f>Markaz!U126+Avenue!U126</f>
        <v>2912.6772686111999</v>
      </c>
      <c r="V126" s="49">
        <f t="shared" si="54"/>
        <v>1.2E-2</v>
      </c>
      <c r="W126" s="18">
        <f>Markaz!W126+Avenue!W126</f>
        <v>2963.4788145911643</v>
      </c>
      <c r="X126" s="49">
        <f t="shared" si="55"/>
        <v>1.2000000000000002E-2</v>
      </c>
      <c r="Y126" s="18">
        <f>Markaz!Y126+Avenue!Y126</f>
        <v>4476.81922562826</v>
      </c>
      <c r="Z126" s="168">
        <f t="shared" si="56"/>
        <v>1.1999999999999999E-2</v>
      </c>
      <c r="AA126" s="275">
        <f t="shared" si="57"/>
        <v>41714.618881479415</v>
      </c>
      <c r="AB126" s="203">
        <f t="shared" si="58"/>
        <v>1.2000000000000002E-2</v>
      </c>
      <c r="AC126" s="194">
        <f t="shared" si="59"/>
        <v>3476.2182401232844</v>
      </c>
      <c r="AD126" s="203">
        <f t="shared" si="60"/>
        <v>1.2000000000000002E-2</v>
      </c>
      <c r="AE126" s="159"/>
      <c r="AF126" s="238"/>
      <c r="AG126" s="160"/>
      <c r="AH126" s="194">
        <v>12000</v>
      </c>
      <c r="AI126" s="244">
        <f>AH126/AH12</f>
        <v>1.490257164364747E-2</v>
      </c>
      <c r="AJ126" s="282">
        <f t="shared" si="61"/>
        <v>57190.837121602701</v>
      </c>
      <c r="AK126" s="53">
        <f t="shared" si="62"/>
        <v>0</v>
      </c>
      <c r="AL126" s="53">
        <f t="shared" si="43"/>
        <v>41714.618881479415</v>
      </c>
      <c r="AM126" s="53">
        <f t="shared" si="63"/>
        <v>339681.04932664754</v>
      </c>
      <c r="AN126" s="53" t="e">
        <f>#REF!-AM126</f>
        <v>#REF!</v>
      </c>
      <c r="AO126" s="410">
        <v>1.0999999999999999E-2</v>
      </c>
    </row>
    <row r="127" spans="1:41">
      <c r="A127" s="2">
        <v>6414</v>
      </c>
      <c r="B127" s="2" t="s">
        <v>44</v>
      </c>
      <c r="C127" s="18">
        <f>Markaz!C127+Avenue!C127</f>
        <v>100</v>
      </c>
      <c r="D127" s="49">
        <f t="shared" si="45"/>
        <v>3.8247991100763415E-4</v>
      </c>
      <c r="E127" s="18">
        <f>Markaz!E127+Avenue!E127</f>
        <v>100</v>
      </c>
      <c r="F127" s="49">
        <f t="shared" si="46"/>
        <v>4.9161844663006397E-4</v>
      </c>
      <c r="G127" s="18">
        <f>Markaz!G127+Avenue!G127</f>
        <v>100</v>
      </c>
      <c r="H127" s="49">
        <f t="shared" si="47"/>
        <v>2.9637392875911302E-4</v>
      </c>
      <c r="I127" s="18">
        <f>Markaz!I127+Avenue!I127</f>
        <v>100</v>
      </c>
      <c r="J127" s="49">
        <f t="shared" si="48"/>
        <v>3.356464952258151E-4</v>
      </c>
      <c r="K127" s="18">
        <f>Markaz!K127+Avenue!K127</f>
        <v>100</v>
      </c>
      <c r="L127" s="49">
        <f t="shared" si="49"/>
        <v>3.6698644917777719E-4</v>
      </c>
      <c r="M127" s="18">
        <f>Markaz!M127+Avenue!M127</f>
        <v>100</v>
      </c>
      <c r="N127" s="49">
        <f t="shared" si="50"/>
        <v>2.5880820562185978E-4</v>
      </c>
      <c r="O127" s="18">
        <f>Markaz!O127+Avenue!O127</f>
        <v>100</v>
      </c>
      <c r="P127" s="49">
        <f t="shared" si="51"/>
        <v>4.0878834703610107E-4</v>
      </c>
      <c r="Q127" s="18">
        <f>Markaz!Q127+Avenue!Q127</f>
        <v>100</v>
      </c>
      <c r="R127" s="49">
        <f t="shared" si="52"/>
        <v>3.2920632612850595E-4</v>
      </c>
      <c r="S127" s="18">
        <f>Markaz!S127+Avenue!S127</f>
        <v>100</v>
      </c>
      <c r="T127" s="49">
        <f t="shared" si="53"/>
        <v>3.2679481704917966E-4</v>
      </c>
      <c r="U127" s="18">
        <f>Markaz!U127+Avenue!U127</f>
        <v>100</v>
      </c>
      <c r="V127" s="49">
        <f t="shared" si="54"/>
        <v>4.119920915825236E-4</v>
      </c>
      <c r="W127" s="18">
        <f>Markaz!W127+Avenue!W127</f>
        <v>100</v>
      </c>
      <c r="X127" s="49">
        <f t="shared" si="55"/>
        <v>4.0492950180430086E-4</v>
      </c>
      <c r="Y127" s="18">
        <f>Markaz!Y127+Avenue!Y127</f>
        <v>100</v>
      </c>
      <c r="Z127" s="168">
        <f t="shared" si="56"/>
        <v>2.6804745501681415E-4</v>
      </c>
      <c r="AA127" s="275">
        <f t="shared" si="57"/>
        <v>1200</v>
      </c>
      <c r="AB127" s="203">
        <f t="shared" si="58"/>
        <v>3.4520272235768546E-4</v>
      </c>
      <c r="AC127" s="194">
        <f t="shared" si="59"/>
        <v>100</v>
      </c>
      <c r="AD127" s="203">
        <f t="shared" si="60"/>
        <v>3.4520272235768546E-4</v>
      </c>
      <c r="AE127" s="159"/>
      <c r="AF127" s="227"/>
      <c r="AG127" s="75"/>
      <c r="AH127" s="194">
        <v>15</v>
      </c>
      <c r="AI127" s="244">
        <f>AH127/AH12</f>
        <v>1.8628214554559339E-5</v>
      </c>
      <c r="AJ127" s="282">
        <f t="shared" si="61"/>
        <v>1315</v>
      </c>
      <c r="AK127" s="53">
        <f t="shared" si="62"/>
        <v>0</v>
      </c>
      <c r="AL127" s="53">
        <f t="shared" si="43"/>
        <v>1200</v>
      </c>
      <c r="AM127" s="53">
        <f t="shared" si="63"/>
        <v>9400</v>
      </c>
      <c r="AN127" s="53" t="e">
        <f>#REF!-AM127</f>
        <v>#REF!</v>
      </c>
      <c r="AO127" s="53"/>
    </row>
    <row r="128" spans="1:41">
      <c r="A128" s="2">
        <v>6415</v>
      </c>
      <c r="B128" s="108" t="s">
        <v>45</v>
      </c>
      <c r="C128" s="130">
        <f>Markaz!C128+Avenue!C128</f>
        <v>0</v>
      </c>
      <c r="D128" s="49">
        <f t="shared" si="45"/>
        <v>0</v>
      </c>
      <c r="E128" s="130">
        <f>Markaz!E128+Avenue!E128</f>
        <v>0</v>
      </c>
      <c r="F128" s="49">
        <f t="shared" si="46"/>
        <v>0</v>
      </c>
      <c r="G128" s="130">
        <f>Markaz!G128+Avenue!G128</f>
        <v>0</v>
      </c>
      <c r="H128" s="49">
        <f t="shared" si="47"/>
        <v>0</v>
      </c>
      <c r="I128" s="130">
        <f>Markaz!I128+Avenue!I128</f>
        <v>0</v>
      </c>
      <c r="J128" s="49">
        <f t="shared" si="48"/>
        <v>0</v>
      </c>
      <c r="K128" s="130">
        <f>Markaz!K128+Avenue!K128</f>
        <v>0</v>
      </c>
      <c r="L128" s="49">
        <f t="shared" si="49"/>
        <v>0</v>
      </c>
      <c r="M128" s="130">
        <f>Markaz!M128+Avenue!M128</f>
        <v>0</v>
      </c>
      <c r="N128" s="49">
        <f t="shared" si="50"/>
        <v>0</v>
      </c>
      <c r="O128" s="130">
        <f>Markaz!O128+Avenue!O128</f>
        <v>0</v>
      </c>
      <c r="P128" s="49">
        <f t="shared" si="51"/>
        <v>0</v>
      </c>
      <c r="Q128" s="130">
        <f>Markaz!Q128+Avenue!Q128</f>
        <v>0</v>
      </c>
      <c r="R128" s="49">
        <f t="shared" si="52"/>
        <v>0</v>
      </c>
      <c r="S128" s="130">
        <f>Markaz!S128+Avenue!S128</f>
        <v>0</v>
      </c>
      <c r="T128" s="49">
        <f t="shared" si="53"/>
        <v>0</v>
      </c>
      <c r="U128" s="130">
        <f>Markaz!U128+Avenue!U128</f>
        <v>0</v>
      </c>
      <c r="V128" s="49">
        <f t="shared" si="54"/>
        <v>0</v>
      </c>
      <c r="W128" s="130">
        <f>Markaz!W128+Avenue!W128</f>
        <v>0</v>
      </c>
      <c r="X128" s="49">
        <f t="shared" si="55"/>
        <v>0</v>
      </c>
      <c r="Y128" s="130">
        <f>Markaz!Y128+Avenue!Y128</f>
        <v>0</v>
      </c>
      <c r="Z128" s="168">
        <f t="shared" si="56"/>
        <v>0</v>
      </c>
      <c r="AA128" s="275">
        <f t="shared" si="57"/>
        <v>0</v>
      </c>
      <c r="AB128" s="203">
        <f t="shared" si="58"/>
        <v>0</v>
      </c>
      <c r="AC128" s="194">
        <f t="shared" si="59"/>
        <v>0</v>
      </c>
      <c r="AD128" s="203">
        <f t="shared" si="60"/>
        <v>0</v>
      </c>
      <c r="AE128" s="159"/>
      <c r="AF128" s="227"/>
      <c r="AG128" s="159"/>
      <c r="AH128" s="194">
        <v>1160</v>
      </c>
      <c r="AI128" s="244">
        <f>AH128/AH12</f>
        <v>1.4405819255525888E-3</v>
      </c>
      <c r="AJ128" s="282">
        <f t="shared" si="61"/>
        <v>1160</v>
      </c>
      <c r="AK128" s="53">
        <f t="shared" si="62"/>
        <v>0</v>
      </c>
      <c r="AL128" s="53">
        <f t="shared" si="43"/>
        <v>0</v>
      </c>
      <c r="AM128" s="53">
        <f t="shared" si="63"/>
        <v>0</v>
      </c>
      <c r="AN128" s="53" t="e">
        <f>#REF!-AM128</f>
        <v>#REF!</v>
      </c>
      <c r="AO128" s="53">
        <v>49</v>
      </c>
    </row>
    <row r="129" spans="1:41" ht="15.75" thickBot="1">
      <c r="A129" s="4">
        <v>6499</v>
      </c>
      <c r="B129" s="109" t="s">
        <v>102</v>
      </c>
      <c r="C129" s="27">
        <f>Markaz!C129+Avenue!C129</f>
        <v>3487.41968</v>
      </c>
      <c r="D129" s="68">
        <f t="shared" si="45"/>
        <v>1.3338679688526719E-2</v>
      </c>
      <c r="E129" s="27">
        <f>Markaz!E129+Avenue!E129</f>
        <v>2790.9173582190319</v>
      </c>
      <c r="F129" s="68">
        <f t="shared" si="46"/>
        <v>1.3720664563205223E-2</v>
      </c>
      <c r="G129" s="27">
        <f>Markaz!G129+Avenue!G129</f>
        <v>4398.9391392295402</v>
      </c>
      <c r="H129" s="68">
        <f t="shared" si="47"/>
        <v>1.3037308750656895E-2</v>
      </c>
      <c r="I129" s="27">
        <f>Markaz!I129+Avenue!I129</f>
        <v>3925.1900200616365</v>
      </c>
      <c r="J129" s="68">
        <f t="shared" si="48"/>
        <v>1.3174762733290352E-2</v>
      </c>
      <c r="K129" s="27">
        <f>Markaz!K129+Avenue!K129</f>
        <v>3619.8755027292323</v>
      </c>
      <c r="L129" s="68">
        <f t="shared" si="49"/>
        <v>1.328445257212222E-2</v>
      </c>
      <c r="M129" s="27">
        <f>Markaz!M129+Avenue!M129</f>
        <v>4986.6381510843567</v>
      </c>
      <c r="N129" s="68">
        <f t="shared" si="50"/>
        <v>1.290582871967651E-2</v>
      </c>
      <c r="O129" s="27">
        <f>Markaz!O129+Avenue!O129</f>
        <v>3285.504421054412</v>
      </c>
      <c r="P129" s="68">
        <f t="shared" si="51"/>
        <v>1.3430759214626354E-2</v>
      </c>
      <c r="Q129" s="27">
        <f>Markaz!Q129+Avenue!Q129</f>
        <v>3995.1304387497676</v>
      </c>
      <c r="R129" s="68">
        <f t="shared" si="52"/>
        <v>1.315222214144977E-2</v>
      </c>
      <c r="S129" s="27">
        <f>Markaz!S129+Avenue!S129</f>
        <v>4022.0288615208078</v>
      </c>
      <c r="T129" s="68">
        <f t="shared" si="53"/>
        <v>1.3143781859672129E-2</v>
      </c>
      <c r="U129" s="27">
        <f>Markaz!U129+Avenue!U129</f>
        <v>3262.6772686111999</v>
      </c>
      <c r="V129" s="68">
        <f t="shared" si="54"/>
        <v>1.3441972320538833E-2</v>
      </c>
      <c r="W129" s="27">
        <f>Markaz!W129+Avenue!W129</f>
        <v>3313.4788145911643</v>
      </c>
      <c r="X129" s="68">
        <f t="shared" si="55"/>
        <v>1.3417253256315055E-2</v>
      </c>
      <c r="Y129" s="27">
        <f>Markaz!Y129+Avenue!Y129</f>
        <v>4826.81922562826</v>
      </c>
      <c r="Z129" s="212">
        <f t="shared" si="56"/>
        <v>1.2938166092558849E-2</v>
      </c>
      <c r="AA129" s="200">
        <f t="shared" si="57"/>
        <v>45914.618881479415</v>
      </c>
      <c r="AB129" s="234">
        <f t="shared" si="58"/>
        <v>1.3208209528251901E-2</v>
      </c>
      <c r="AC129" s="199">
        <f t="shared" si="59"/>
        <v>3826.2182401232844</v>
      </c>
      <c r="AD129" s="234">
        <f t="shared" si="60"/>
        <v>1.3208209528251901E-2</v>
      </c>
      <c r="AE129" s="75"/>
      <c r="AF129" s="158"/>
      <c r="AG129" s="75"/>
      <c r="AH129" s="199">
        <f>SUM(AH116:AH128)</f>
        <v>14275.269</v>
      </c>
      <c r="AI129" s="248">
        <f>AH129/AH12</f>
        <v>1.7728184917069983E-2</v>
      </c>
      <c r="AJ129" s="286">
        <f t="shared" si="61"/>
        <v>64016.106121602701</v>
      </c>
      <c r="AK129" s="53">
        <f t="shared" si="62"/>
        <v>0</v>
      </c>
      <c r="AL129" s="53">
        <f t="shared" si="43"/>
        <v>45914.618881479415</v>
      </c>
      <c r="AM129" s="53">
        <f t="shared" si="63"/>
        <v>372581.04932664754</v>
      </c>
      <c r="AN129" s="53" t="e">
        <f>#REF!-AM129</f>
        <v>#REF!</v>
      </c>
      <c r="AO129" s="53"/>
    </row>
    <row r="130" spans="1:41" ht="15.75" thickTop="1">
      <c r="A130" s="105"/>
      <c r="B130" s="110"/>
      <c r="C130" s="130">
        <f>Markaz!C130+Avenue!C130</f>
        <v>0</v>
      </c>
      <c r="D130" s="70">
        <f t="shared" si="45"/>
        <v>0</v>
      </c>
      <c r="E130" s="130">
        <f>Markaz!E130+Avenue!E130</f>
        <v>0</v>
      </c>
      <c r="F130" s="70">
        <f t="shared" si="46"/>
        <v>0</v>
      </c>
      <c r="G130" s="130">
        <f>Markaz!G130+Avenue!G130</f>
        <v>0</v>
      </c>
      <c r="H130" s="70">
        <f t="shared" si="47"/>
        <v>0</v>
      </c>
      <c r="I130" s="130">
        <f>Markaz!I130+Avenue!I130</f>
        <v>0</v>
      </c>
      <c r="J130" s="70">
        <f t="shared" si="48"/>
        <v>0</v>
      </c>
      <c r="K130" s="130">
        <f>Markaz!K130+Avenue!K130</f>
        <v>0</v>
      </c>
      <c r="L130" s="70">
        <f t="shared" si="49"/>
        <v>0</v>
      </c>
      <c r="M130" s="130">
        <f>Markaz!M130+Avenue!M130</f>
        <v>0</v>
      </c>
      <c r="N130" s="70">
        <f t="shared" si="50"/>
        <v>0</v>
      </c>
      <c r="O130" s="130">
        <f>Markaz!O130+Avenue!O130</f>
        <v>0</v>
      </c>
      <c r="P130" s="70">
        <f t="shared" si="51"/>
        <v>0</v>
      </c>
      <c r="Q130" s="130">
        <f>Markaz!Q130+Avenue!Q130</f>
        <v>0</v>
      </c>
      <c r="R130" s="70">
        <f t="shared" si="52"/>
        <v>0</v>
      </c>
      <c r="S130" s="130">
        <f>Markaz!S130+Avenue!S130</f>
        <v>0</v>
      </c>
      <c r="T130" s="70">
        <f t="shared" si="53"/>
        <v>0</v>
      </c>
      <c r="U130" s="130">
        <f>Markaz!U130+Avenue!U130</f>
        <v>0</v>
      </c>
      <c r="V130" s="70">
        <f t="shared" si="54"/>
        <v>0</v>
      </c>
      <c r="W130" s="130">
        <f>Markaz!W130+Avenue!W130</f>
        <v>0</v>
      </c>
      <c r="X130" s="70">
        <f t="shared" si="55"/>
        <v>0</v>
      </c>
      <c r="Y130" s="130">
        <f>Markaz!Y130+Avenue!Y130</f>
        <v>0</v>
      </c>
      <c r="Z130" s="104">
        <f t="shared" si="56"/>
        <v>0</v>
      </c>
      <c r="AA130" s="193">
        <f t="shared" si="57"/>
        <v>0</v>
      </c>
      <c r="AB130" s="202">
        <f t="shared" si="58"/>
        <v>0</v>
      </c>
      <c r="AC130" s="194">
        <f t="shared" si="59"/>
        <v>0</v>
      </c>
      <c r="AD130" s="202">
        <f t="shared" si="60"/>
        <v>0</v>
      </c>
      <c r="AE130" s="75"/>
      <c r="AF130" s="158"/>
      <c r="AG130" s="75"/>
      <c r="AH130" s="194"/>
      <c r="AI130" s="243"/>
      <c r="AJ130" s="282">
        <f t="shared" si="61"/>
        <v>0</v>
      </c>
      <c r="AK130" s="53">
        <f t="shared" si="62"/>
        <v>0</v>
      </c>
      <c r="AL130" s="53">
        <f t="shared" si="43"/>
        <v>0</v>
      </c>
      <c r="AM130" s="53">
        <f t="shared" si="63"/>
        <v>0</v>
      </c>
      <c r="AN130" s="53" t="e">
        <f>#REF!-AM130</f>
        <v>#REF!</v>
      </c>
      <c r="AO130" s="53"/>
    </row>
    <row r="131" spans="1:41" ht="15.75" thickBot="1">
      <c r="A131" s="4"/>
      <c r="B131" s="109" t="s">
        <v>113</v>
      </c>
      <c r="C131" s="125">
        <f>Markaz!C131+Avenue!C131</f>
        <v>48684.419622578011</v>
      </c>
      <c r="D131" s="122">
        <f t="shared" si="45"/>
        <v>0.18620812484701954</v>
      </c>
      <c r="E131" s="125">
        <f>Markaz!E131+Avenue!E131</f>
        <v>32519.111879045704</v>
      </c>
      <c r="F131" s="122">
        <f t="shared" si="46"/>
        <v>0.15986995267765711</v>
      </c>
      <c r="G131" s="125">
        <f>Markaz!G131+Avenue!G131</f>
        <v>89079.79139200339</v>
      </c>
      <c r="H131" s="122">
        <f t="shared" si="47"/>
        <v>0.26400927747890263</v>
      </c>
      <c r="I131" s="125">
        <f>Markaz!I131+Avenue!I131</f>
        <v>68358.99990222753</v>
      </c>
      <c r="J131" s="122">
        <f t="shared" si="48"/>
        <v>0.22944458734324508</v>
      </c>
      <c r="K131" s="125">
        <f>Markaz!K131+Avenue!K131</f>
        <v>69764.315636982967</v>
      </c>
      <c r="L131" s="122">
        <f t="shared" si="49"/>
        <v>0.25602558474934056</v>
      </c>
      <c r="M131" s="125">
        <f>Markaz!M131+Avenue!M131</f>
        <v>110364.74679059949</v>
      </c>
      <c r="N131" s="122">
        <f t="shared" si="50"/>
        <v>0.28563302080785963</v>
      </c>
      <c r="O131" s="125">
        <f>Markaz!O131+Avenue!O131</f>
        <v>57640.273017252977</v>
      </c>
      <c r="P131" s="122">
        <f t="shared" si="51"/>
        <v>0.23562671929432422</v>
      </c>
      <c r="Q131" s="125">
        <f>Markaz!Q131+Avenue!Q131</f>
        <v>82429.058658713329</v>
      </c>
      <c r="R131" s="122">
        <f t="shared" si="52"/>
        <v>0.27136167567266128</v>
      </c>
      <c r="S131" s="125">
        <f>Markaz!S131+Avenue!S131</f>
        <v>85165.04109971055</v>
      </c>
      <c r="T131" s="122">
        <f t="shared" si="53"/>
        <v>0.27831494025165776</v>
      </c>
      <c r="U131" s="125">
        <f>Markaz!U131+Avenue!U131</f>
        <v>42932.400438989236</v>
      </c>
      <c r="V131" s="122">
        <f t="shared" si="54"/>
        <v>0.17687809453517628</v>
      </c>
      <c r="W131" s="125">
        <f>Markaz!W131+Avenue!W131</f>
        <v>55048.67813830715</v>
      </c>
      <c r="X131" s="122">
        <f t="shared" si="55"/>
        <v>0.22290833813530023</v>
      </c>
      <c r="Y131" s="125">
        <f>Markaz!Y131+Avenue!Y131</f>
        <v>95691.589979190729</v>
      </c>
      <c r="Z131" s="122">
        <f t="shared" si="56"/>
        <v>0.25649887160434554</v>
      </c>
      <c r="AA131" s="278">
        <f t="shared" si="57"/>
        <v>837678.42655560107</v>
      </c>
      <c r="AB131" s="239">
        <f t="shared" si="58"/>
        <v>0.2409740610894133</v>
      </c>
      <c r="AC131" s="240">
        <f t="shared" si="59"/>
        <v>69806.535546300089</v>
      </c>
      <c r="AD131" s="239">
        <f t="shared" si="60"/>
        <v>0.24097406108941333</v>
      </c>
      <c r="AE131" s="75"/>
      <c r="AF131" s="158"/>
      <c r="AG131" s="75"/>
      <c r="AH131" s="240">
        <f>AH37-AH76-AH93-AH115-AH129</f>
        <v>54046.454050450149</v>
      </c>
      <c r="AI131" s="250">
        <f>AH131/AH12</f>
        <v>6.71192627976612E-2</v>
      </c>
      <c r="AJ131" s="286">
        <f t="shared" si="61"/>
        <v>961531.4161523513</v>
      </c>
      <c r="AK131" s="53">
        <f t="shared" si="62"/>
        <v>0</v>
      </c>
      <c r="AL131" s="53">
        <f t="shared" si="43"/>
        <v>837678.42655560107</v>
      </c>
      <c r="AM131" s="53">
        <f t="shared" si="63"/>
        <v>7110864.0135073885</v>
      </c>
      <c r="AN131" s="53" t="e">
        <f>#REF!-AM131</f>
        <v>#REF!</v>
      </c>
      <c r="AO131" s="53"/>
    </row>
    <row r="132" spans="1:41" ht="15.75" thickTop="1">
      <c r="A132" s="105"/>
      <c r="B132" s="110"/>
      <c r="C132" s="130">
        <f>Markaz!C132+Avenue!C132</f>
        <v>0</v>
      </c>
      <c r="D132" s="70">
        <f t="shared" si="45"/>
        <v>0</v>
      </c>
      <c r="E132" s="130">
        <f>Markaz!E132+Avenue!E132</f>
        <v>0</v>
      </c>
      <c r="F132" s="70">
        <f t="shared" si="46"/>
        <v>0</v>
      </c>
      <c r="G132" s="130">
        <f>Markaz!G132+Avenue!G132</f>
        <v>0</v>
      </c>
      <c r="H132" s="70">
        <f t="shared" si="47"/>
        <v>0</v>
      </c>
      <c r="I132" s="130">
        <f>Markaz!I132+Avenue!I132</f>
        <v>0</v>
      </c>
      <c r="J132" s="70">
        <f t="shared" si="48"/>
        <v>0</v>
      </c>
      <c r="K132" s="130">
        <f>Markaz!K132+Avenue!K132</f>
        <v>0</v>
      </c>
      <c r="L132" s="70">
        <f t="shared" si="49"/>
        <v>0</v>
      </c>
      <c r="M132" s="130">
        <f>Markaz!M132+Avenue!M132</f>
        <v>0</v>
      </c>
      <c r="N132" s="70">
        <f t="shared" si="50"/>
        <v>0</v>
      </c>
      <c r="O132" s="130">
        <f>Markaz!O132+Avenue!O132</f>
        <v>0</v>
      </c>
      <c r="P132" s="70">
        <f t="shared" si="51"/>
        <v>0</v>
      </c>
      <c r="Q132" s="130">
        <f>Markaz!Q132+Avenue!Q132</f>
        <v>0</v>
      </c>
      <c r="R132" s="70">
        <f t="shared" si="52"/>
        <v>0</v>
      </c>
      <c r="S132" s="130">
        <f>Markaz!S132+Avenue!S132</f>
        <v>0</v>
      </c>
      <c r="T132" s="70">
        <f t="shared" si="53"/>
        <v>0</v>
      </c>
      <c r="U132" s="130">
        <f>Markaz!U132+Avenue!U132</f>
        <v>0</v>
      </c>
      <c r="V132" s="70">
        <f t="shared" si="54"/>
        <v>0</v>
      </c>
      <c r="W132" s="130">
        <f>Markaz!W132+Avenue!W132</f>
        <v>0</v>
      </c>
      <c r="X132" s="70">
        <f t="shared" si="55"/>
        <v>0</v>
      </c>
      <c r="Y132" s="130">
        <f>Markaz!Y132+Avenue!Y132</f>
        <v>0</v>
      </c>
      <c r="Z132" s="104">
        <f t="shared" si="56"/>
        <v>0</v>
      </c>
      <c r="AA132" s="193">
        <f t="shared" si="57"/>
        <v>0</v>
      </c>
      <c r="AB132" s="202">
        <f t="shared" si="58"/>
        <v>0</v>
      </c>
      <c r="AC132" s="194">
        <f t="shared" si="59"/>
        <v>0</v>
      </c>
      <c r="AD132" s="202">
        <f t="shared" si="60"/>
        <v>0</v>
      </c>
      <c r="AE132" s="75"/>
      <c r="AF132" s="158"/>
      <c r="AG132" s="75"/>
      <c r="AH132" s="194"/>
      <c r="AI132" s="243"/>
      <c r="AJ132" s="282">
        <f t="shared" si="61"/>
        <v>0</v>
      </c>
      <c r="AK132" s="53">
        <f t="shared" si="62"/>
        <v>0</v>
      </c>
      <c r="AL132" s="53">
        <f t="shared" si="43"/>
        <v>0</v>
      </c>
      <c r="AM132" s="53">
        <f t="shared" si="63"/>
        <v>0</v>
      </c>
      <c r="AN132" s="53" t="e">
        <f>#REF!-AM132</f>
        <v>#REF!</v>
      </c>
      <c r="AO132" s="53"/>
    </row>
    <row r="133" spans="1:41" ht="15.75" thickBot="1">
      <c r="A133" s="4"/>
      <c r="B133" s="263" t="s">
        <v>123</v>
      </c>
      <c r="C133" s="126">
        <f>Markaz!C133+Avenue!C133</f>
        <v>0</v>
      </c>
      <c r="D133" s="264">
        <f t="shared" si="45"/>
        <v>0</v>
      </c>
      <c r="E133" s="126">
        <f>Markaz!E133+Avenue!E133</f>
        <v>0</v>
      </c>
      <c r="F133" s="264">
        <f t="shared" si="46"/>
        <v>0</v>
      </c>
      <c r="G133" s="126">
        <f>Markaz!G133+Avenue!G133</f>
        <v>0</v>
      </c>
      <c r="H133" s="264">
        <f t="shared" si="47"/>
        <v>0</v>
      </c>
      <c r="I133" s="126">
        <f>Markaz!I133+Avenue!I133</f>
        <v>0</v>
      </c>
      <c r="J133" s="264">
        <f t="shared" si="48"/>
        <v>0</v>
      </c>
      <c r="K133" s="126">
        <f>Markaz!K133+Avenue!K133</f>
        <v>0</v>
      </c>
      <c r="L133" s="264">
        <f t="shared" si="49"/>
        <v>0</v>
      </c>
      <c r="M133" s="126">
        <f>Markaz!M133+Avenue!M133</f>
        <v>0</v>
      </c>
      <c r="N133" s="264">
        <f t="shared" si="50"/>
        <v>0</v>
      </c>
      <c r="O133" s="126">
        <f>Markaz!O133+Avenue!O133</f>
        <v>0</v>
      </c>
      <c r="P133" s="264">
        <f t="shared" si="51"/>
        <v>0</v>
      </c>
      <c r="Q133" s="126">
        <f>Markaz!Q133+Avenue!Q133</f>
        <v>0</v>
      </c>
      <c r="R133" s="264">
        <f t="shared" si="52"/>
        <v>0</v>
      </c>
      <c r="S133" s="126">
        <f>Markaz!S133+Avenue!S133</f>
        <v>0</v>
      </c>
      <c r="T133" s="264">
        <f t="shared" si="53"/>
        <v>0</v>
      </c>
      <c r="U133" s="126">
        <f>Markaz!U133+Avenue!U133</f>
        <v>0</v>
      </c>
      <c r="V133" s="264">
        <f t="shared" si="54"/>
        <v>0</v>
      </c>
      <c r="W133" s="126">
        <f>Markaz!W133+Avenue!W133</f>
        <v>0</v>
      </c>
      <c r="X133" s="264">
        <f t="shared" si="55"/>
        <v>0</v>
      </c>
      <c r="Y133" s="126">
        <f>Markaz!Y133+Avenue!Y133</f>
        <v>0</v>
      </c>
      <c r="Z133" s="265">
        <f t="shared" si="56"/>
        <v>0</v>
      </c>
      <c r="AA133" s="276">
        <f t="shared" si="57"/>
        <v>0</v>
      </c>
      <c r="AB133" s="266">
        <f t="shared" si="58"/>
        <v>0</v>
      </c>
      <c r="AC133" s="267">
        <f t="shared" si="59"/>
        <v>0</v>
      </c>
      <c r="AD133" s="266">
        <f t="shared" si="60"/>
        <v>0</v>
      </c>
      <c r="AE133" s="262"/>
      <c r="AF133" s="261"/>
      <c r="AG133" s="262"/>
      <c r="AH133" s="267"/>
      <c r="AI133" s="268"/>
      <c r="AJ133" s="282">
        <f t="shared" si="61"/>
        <v>0</v>
      </c>
      <c r="AK133" s="53">
        <f t="shared" si="62"/>
        <v>0</v>
      </c>
      <c r="AL133" s="53">
        <f t="shared" si="43"/>
        <v>0</v>
      </c>
      <c r="AM133" s="53">
        <f t="shared" si="63"/>
        <v>0</v>
      </c>
      <c r="AN133" s="53" t="e">
        <f>#REF!-AM133</f>
        <v>#REF!</v>
      </c>
      <c r="AO133" s="53"/>
    </row>
    <row r="134" spans="1:41" ht="15.75" thickTop="1">
      <c r="A134" s="105"/>
      <c r="B134" s="105"/>
      <c r="C134" s="130">
        <f>Markaz!C134+Avenue!C134</f>
        <v>0</v>
      </c>
      <c r="D134" s="70">
        <f t="shared" si="45"/>
        <v>0</v>
      </c>
      <c r="E134" s="130">
        <f>Markaz!E134+Avenue!E134</f>
        <v>0</v>
      </c>
      <c r="F134" s="70">
        <f t="shared" si="46"/>
        <v>0</v>
      </c>
      <c r="G134" s="130">
        <f>Markaz!G134+Avenue!G134</f>
        <v>0</v>
      </c>
      <c r="H134" s="70">
        <f t="shared" si="47"/>
        <v>0</v>
      </c>
      <c r="I134" s="130">
        <f>Markaz!I134+Avenue!I134</f>
        <v>0</v>
      </c>
      <c r="J134" s="70">
        <f t="shared" si="48"/>
        <v>0</v>
      </c>
      <c r="K134" s="130">
        <f>Markaz!K134+Avenue!K134</f>
        <v>0</v>
      </c>
      <c r="L134" s="70">
        <f t="shared" si="49"/>
        <v>0</v>
      </c>
      <c r="M134" s="130">
        <f>Markaz!M134+Avenue!M134</f>
        <v>0</v>
      </c>
      <c r="N134" s="70">
        <f t="shared" si="50"/>
        <v>0</v>
      </c>
      <c r="O134" s="130">
        <f>Markaz!O134+Avenue!O134</f>
        <v>0</v>
      </c>
      <c r="P134" s="70">
        <f t="shared" si="51"/>
        <v>0</v>
      </c>
      <c r="Q134" s="130">
        <f>Markaz!Q134+Avenue!Q134</f>
        <v>0</v>
      </c>
      <c r="R134" s="70">
        <f t="shared" si="52"/>
        <v>0</v>
      </c>
      <c r="S134" s="130">
        <f>Markaz!S134+Avenue!S134</f>
        <v>0</v>
      </c>
      <c r="T134" s="70">
        <f t="shared" si="53"/>
        <v>0</v>
      </c>
      <c r="U134" s="130">
        <f>Markaz!U134+Avenue!U134</f>
        <v>0</v>
      </c>
      <c r="V134" s="70">
        <f t="shared" si="54"/>
        <v>0</v>
      </c>
      <c r="W134" s="130">
        <f>Markaz!W134+Avenue!W134</f>
        <v>0</v>
      </c>
      <c r="X134" s="70">
        <f t="shared" si="55"/>
        <v>0</v>
      </c>
      <c r="Y134" s="130">
        <f>Markaz!Y134+Avenue!Y134</f>
        <v>0</v>
      </c>
      <c r="Z134" s="104">
        <f t="shared" si="56"/>
        <v>0</v>
      </c>
      <c r="AA134" s="193">
        <f t="shared" si="57"/>
        <v>0</v>
      </c>
      <c r="AB134" s="202">
        <f t="shared" si="58"/>
        <v>0</v>
      </c>
      <c r="AC134" s="194">
        <f t="shared" si="59"/>
        <v>0</v>
      </c>
      <c r="AD134" s="202">
        <f t="shared" si="60"/>
        <v>0</v>
      </c>
      <c r="AE134" s="75"/>
      <c r="AF134" s="158"/>
      <c r="AG134" s="75"/>
      <c r="AH134" s="194"/>
      <c r="AI134" s="243"/>
      <c r="AJ134" s="282">
        <f t="shared" si="61"/>
        <v>0</v>
      </c>
      <c r="AK134" s="53">
        <f t="shared" si="62"/>
        <v>0</v>
      </c>
      <c r="AL134" s="53">
        <f t="shared" si="43"/>
        <v>0</v>
      </c>
      <c r="AM134" s="53">
        <f t="shared" si="63"/>
        <v>0</v>
      </c>
      <c r="AN134" s="53" t="e">
        <f>#REF!-AM134</f>
        <v>#REF!</v>
      </c>
      <c r="AO134" s="53"/>
    </row>
    <row r="135" spans="1:41" ht="15.75" thickBot="1">
      <c r="A135" s="4"/>
      <c r="B135" s="4" t="s">
        <v>120</v>
      </c>
      <c r="C135" s="27">
        <f>Markaz!C135+Avenue!C135</f>
        <v>48684.419622578011</v>
      </c>
      <c r="D135" s="68">
        <f t="shared" si="45"/>
        <v>0.18620812484701954</v>
      </c>
      <c r="E135" s="27">
        <f>Markaz!E135+Avenue!E135</f>
        <v>32519.111879045704</v>
      </c>
      <c r="F135" s="68">
        <f t="shared" si="46"/>
        <v>0.15986995267765711</v>
      </c>
      <c r="G135" s="27">
        <f>Markaz!G135+Avenue!G135</f>
        <v>89079.79139200339</v>
      </c>
      <c r="H135" s="68">
        <f t="shared" si="47"/>
        <v>0.26400927747890263</v>
      </c>
      <c r="I135" s="27">
        <f>Markaz!I135+Avenue!I135</f>
        <v>68358.99990222753</v>
      </c>
      <c r="J135" s="68">
        <f t="shared" si="48"/>
        <v>0.22944458734324508</v>
      </c>
      <c r="K135" s="27">
        <f>Markaz!K135+Avenue!K135</f>
        <v>69764.315636982967</v>
      </c>
      <c r="L135" s="68">
        <f t="shared" si="49"/>
        <v>0.25602558474934056</v>
      </c>
      <c r="M135" s="27">
        <f>Markaz!M135+Avenue!M135</f>
        <v>110364.74679059949</v>
      </c>
      <c r="N135" s="68">
        <f t="shared" si="50"/>
        <v>0.28563302080785963</v>
      </c>
      <c r="O135" s="27">
        <f>Markaz!O135+Avenue!O135</f>
        <v>57640.273017252977</v>
      </c>
      <c r="P135" s="68">
        <f t="shared" si="51"/>
        <v>0.23562671929432422</v>
      </c>
      <c r="Q135" s="27">
        <f>Markaz!Q135+Avenue!Q135</f>
        <v>82429.058658713329</v>
      </c>
      <c r="R135" s="68">
        <f t="shared" si="52"/>
        <v>0.27136167567266128</v>
      </c>
      <c r="S135" s="27">
        <f>Markaz!S135+Avenue!S135</f>
        <v>85165.04109971055</v>
      </c>
      <c r="T135" s="68">
        <f t="shared" si="53"/>
        <v>0.27831494025165776</v>
      </c>
      <c r="U135" s="27">
        <f>Markaz!U135+Avenue!U135</f>
        <v>42932.400438989236</v>
      </c>
      <c r="V135" s="68">
        <f t="shared" si="54"/>
        <v>0.17687809453517628</v>
      </c>
      <c r="W135" s="27">
        <f>Markaz!W135+Avenue!W135</f>
        <v>55048.67813830715</v>
      </c>
      <c r="X135" s="68">
        <f t="shared" si="55"/>
        <v>0.22290833813530023</v>
      </c>
      <c r="Y135" s="27">
        <f>Markaz!Y135+Avenue!Y135</f>
        <v>95691.589979190729</v>
      </c>
      <c r="Z135" s="212">
        <f t="shared" si="56"/>
        <v>0.25649887160434554</v>
      </c>
      <c r="AA135" s="200">
        <f t="shared" si="57"/>
        <v>837678.42655560107</v>
      </c>
      <c r="AB135" s="234">
        <f t="shared" si="58"/>
        <v>0.2409740610894133</v>
      </c>
      <c r="AC135" s="206">
        <f t="shared" si="59"/>
        <v>69806.535546300089</v>
      </c>
      <c r="AD135" s="234">
        <f t="shared" si="60"/>
        <v>0.24097406108941333</v>
      </c>
      <c r="AE135" s="75"/>
      <c r="AF135" s="158"/>
      <c r="AG135" s="75"/>
      <c r="AH135" s="206">
        <f>AH131</f>
        <v>54046.454050450149</v>
      </c>
      <c r="AI135" s="248">
        <f>AH135/AH12</f>
        <v>6.71192627976612E-2</v>
      </c>
      <c r="AJ135" s="286">
        <f t="shared" si="61"/>
        <v>961531.4161523513</v>
      </c>
      <c r="AK135" s="53">
        <f t="shared" si="62"/>
        <v>0</v>
      </c>
      <c r="AL135" s="53">
        <f t="shared" si="43"/>
        <v>837678.42655560107</v>
      </c>
      <c r="AM135" s="53">
        <f t="shared" si="63"/>
        <v>7110864.0135073885</v>
      </c>
      <c r="AN135" s="53" t="e">
        <f>#REF!-AM135</f>
        <v>#REF!</v>
      </c>
      <c r="AO135" s="53"/>
    </row>
    <row r="136" spans="1:41" ht="15.75" thickTop="1">
      <c r="A136" s="16">
        <v>6501</v>
      </c>
      <c r="B136" s="111"/>
      <c r="C136" s="130">
        <f>Markaz!C136+Avenue!C136</f>
        <v>0</v>
      </c>
      <c r="D136" s="49">
        <f t="shared" si="45"/>
        <v>0</v>
      </c>
      <c r="E136" s="130">
        <f>Markaz!E136+Avenue!E136</f>
        <v>0</v>
      </c>
      <c r="F136" s="49">
        <f t="shared" si="46"/>
        <v>0</v>
      </c>
      <c r="G136" s="130">
        <f>Markaz!G136+Avenue!G136</f>
        <v>0</v>
      </c>
      <c r="H136" s="49">
        <f t="shared" si="47"/>
        <v>0</v>
      </c>
      <c r="I136" s="130">
        <f>Markaz!I136+Avenue!I136</f>
        <v>0</v>
      </c>
      <c r="J136" s="49">
        <f t="shared" si="48"/>
        <v>0</v>
      </c>
      <c r="K136" s="130">
        <f>Markaz!K136+Avenue!K136</f>
        <v>0</v>
      </c>
      <c r="L136" s="49">
        <f t="shared" si="49"/>
        <v>0</v>
      </c>
      <c r="M136" s="130">
        <f>Markaz!M136+Avenue!M136</f>
        <v>0</v>
      </c>
      <c r="N136" s="49">
        <f t="shared" si="50"/>
        <v>0</v>
      </c>
      <c r="O136" s="130">
        <f>Markaz!O136+Avenue!O136</f>
        <v>0</v>
      </c>
      <c r="P136" s="49">
        <f t="shared" si="51"/>
        <v>0</v>
      </c>
      <c r="Q136" s="130">
        <f>Markaz!Q136+Avenue!Q136</f>
        <v>0</v>
      </c>
      <c r="R136" s="49">
        <f t="shared" si="52"/>
        <v>0</v>
      </c>
      <c r="S136" s="130">
        <f>Markaz!S136+Avenue!S136</f>
        <v>0</v>
      </c>
      <c r="T136" s="49">
        <f t="shared" si="53"/>
        <v>0</v>
      </c>
      <c r="U136" s="130">
        <f>Markaz!U136+Avenue!U136</f>
        <v>0</v>
      </c>
      <c r="V136" s="49">
        <f t="shared" si="54"/>
        <v>0</v>
      </c>
      <c r="W136" s="130">
        <f>Markaz!W136+Avenue!W136</f>
        <v>0</v>
      </c>
      <c r="X136" s="49">
        <f t="shared" si="55"/>
        <v>0</v>
      </c>
      <c r="Y136" s="130">
        <f>Markaz!Y136+Avenue!Y136</f>
        <v>0</v>
      </c>
      <c r="Z136" s="168">
        <f t="shared" si="56"/>
        <v>0</v>
      </c>
      <c r="AA136" s="275">
        <f t="shared" si="57"/>
        <v>0</v>
      </c>
      <c r="AB136" s="203">
        <f t="shared" si="58"/>
        <v>0</v>
      </c>
      <c r="AC136" s="194">
        <f t="shared" si="59"/>
        <v>0</v>
      </c>
      <c r="AD136" s="203">
        <f t="shared" si="60"/>
        <v>0</v>
      </c>
      <c r="AE136" s="75"/>
      <c r="AF136" s="158"/>
      <c r="AG136" s="75"/>
      <c r="AH136" s="194">
        <v>0</v>
      </c>
      <c r="AI136" s="244">
        <f>AH136/AH12</f>
        <v>0</v>
      </c>
      <c r="AJ136" s="282">
        <f t="shared" si="61"/>
        <v>0</v>
      </c>
      <c r="AK136" s="53">
        <f t="shared" si="62"/>
        <v>0</v>
      </c>
      <c r="AL136" s="53">
        <f t="shared" si="43"/>
        <v>0</v>
      </c>
      <c r="AM136" s="53">
        <f t="shared" si="63"/>
        <v>0</v>
      </c>
      <c r="AN136" s="53" t="e">
        <f>#REF!-AM136</f>
        <v>#REF!</v>
      </c>
      <c r="AO136" s="53"/>
    </row>
    <row r="137" spans="1:41">
      <c r="A137" s="2">
        <v>6502</v>
      </c>
      <c r="B137" s="111" t="s">
        <v>116</v>
      </c>
      <c r="C137" s="18">
        <f>Markaz!C137+Avenue!C137</f>
        <v>12807.745999999999</v>
      </c>
      <c r="D137" s="49">
        <f t="shared" si="45"/>
        <v>4.8987055502883819E-2</v>
      </c>
      <c r="E137" s="18">
        <f>Markaz!E137+Avenue!E137</f>
        <v>12807.745999999999</v>
      </c>
      <c r="F137" s="49">
        <f t="shared" si="46"/>
        <v>6.2965241933524152E-2</v>
      </c>
      <c r="G137" s="18">
        <f>Markaz!G137+Avenue!G137</f>
        <v>12807.745999999999</v>
      </c>
      <c r="H137" s="49">
        <f t="shared" si="47"/>
        <v>3.7958820005688142E-2</v>
      </c>
      <c r="I137" s="18">
        <f>Markaz!I137+Avenue!I137</f>
        <v>12807.745999999999</v>
      </c>
      <c r="J137" s="49">
        <f t="shared" si="48"/>
        <v>4.2988750566424525E-2</v>
      </c>
      <c r="K137" s="18">
        <f>Markaz!K137+Avenue!K137</f>
        <v>12807.745999999999</v>
      </c>
      <c r="L137" s="49">
        <f t="shared" si="49"/>
        <v>4.7002692265108788E-2</v>
      </c>
      <c r="M137" s="18">
        <f>Markaz!M137+Avenue!M137</f>
        <v>12807.745999999999</v>
      </c>
      <c r="N137" s="49">
        <f t="shared" si="50"/>
        <v>3.3147497603205525E-2</v>
      </c>
      <c r="O137" s="18">
        <f>Markaz!O137+Avenue!O137</f>
        <v>12807.745999999999</v>
      </c>
      <c r="P137" s="49">
        <f t="shared" si="51"/>
        <v>5.2356573165982349E-2</v>
      </c>
      <c r="Q137" s="18">
        <f>Markaz!Q137+Avenue!Q137</f>
        <v>12807.745999999999</v>
      </c>
      <c r="R137" s="49">
        <f t="shared" si="52"/>
        <v>4.2163910066470668E-2</v>
      </c>
      <c r="S137" s="18">
        <f>Markaz!S137+Avenue!S137</f>
        <v>12807.744999999999</v>
      </c>
      <c r="T137" s="49">
        <f t="shared" si="53"/>
        <v>4.1855046840875453E-2</v>
      </c>
      <c r="U137" s="18">
        <f>Markaz!U137+Avenue!U137</f>
        <v>12807.745999999999</v>
      </c>
      <c r="V137" s="49">
        <f t="shared" si="54"/>
        <v>5.2766900629977E-2</v>
      </c>
      <c r="W137" s="18">
        <f>Markaz!W137+Avenue!W137</f>
        <v>12807.745999999999</v>
      </c>
      <c r="X137" s="49">
        <f t="shared" si="55"/>
        <v>5.1862342070160265E-2</v>
      </c>
      <c r="Y137" s="18">
        <f>Markaz!Y137+Avenue!Y137</f>
        <v>12807.745999999999</v>
      </c>
      <c r="Z137" s="168">
        <f t="shared" si="56"/>
        <v>3.4330837198017813E-2</v>
      </c>
      <c r="AA137" s="275">
        <f t="shared" si="57"/>
        <v>153692.951</v>
      </c>
      <c r="AB137" s="203">
        <f t="shared" si="58"/>
        <v>4.4212687576988631E-2</v>
      </c>
      <c r="AC137" s="201">
        <f t="shared" si="59"/>
        <v>12807.745916666667</v>
      </c>
      <c r="AD137" s="203">
        <f t="shared" si="60"/>
        <v>4.4212687576988631E-2</v>
      </c>
      <c r="AE137" s="75"/>
      <c r="AF137" s="158"/>
      <c r="AG137" s="75"/>
      <c r="AH137" s="201">
        <v>58510.638297872341</v>
      </c>
      <c r="AI137" s="244">
        <f>AH137/AH12</f>
        <v>7.2663248262465507E-2</v>
      </c>
      <c r="AJ137" s="282">
        <f t="shared" si="61"/>
        <v>225011.33521453902</v>
      </c>
      <c r="AK137" s="53">
        <f t="shared" si="62"/>
        <v>0</v>
      </c>
      <c r="AL137" s="53">
        <f t="shared" si="43"/>
        <v>153692.951</v>
      </c>
      <c r="AM137" s="53">
        <f t="shared" si="63"/>
        <v>1203928.1145999997</v>
      </c>
      <c r="AN137" s="53" t="e">
        <f>#REF!-AM137</f>
        <v>#REF!</v>
      </c>
      <c r="AO137" s="53"/>
    </row>
    <row r="138" spans="1:41">
      <c r="A138" s="2">
        <v>6503</v>
      </c>
      <c r="B138" s="111" t="s">
        <v>117</v>
      </c>
      <c r="C138" s="18">
        <f>Markaz!C138+Avenue!C138</f>
        <v>1162.981</v>
      </c>
      <c r="D138" s="49">
        <f t="shared" si="45"/>
        <v>4.4481686938356935E-3</v>
      </c>
      <c r="E138" s="18">
        <f>Markaz!E138+Avenue!E138</f>
        <v>1162.982</v>
      </c>
      <c r="F138" s="49">
        <f t="shared" si="46"/>
        <v>5.7174340429872504E-3</v>
      </c>
      <c r="G138" s="18">
        <f>Markaz!G138+Avenue!G138</f>
        <v>1162.981</v>
      </c>
      <c r="H138" s="49">
        <f t="shared" si="47"/>
        <v>3.4467724804220197E-3</v>
      </c>
      <c r="I138" s="18">
        <f>Markaz!I138+Avenue!I138</f>
        <v>1162.982</v>
      </c>
      <c r="J138" s="49">
        <f t="shared" si="48"/>
        <v>3.9035083231070888E-3</v>
      </c>
      <c r="K138" s="18">
        <f>Markaz!K138+Avenue!K138</f>
        <v>1162.981</v>
      </c>
      <c r="L138" s="49">
        <f t="shared" si="49"/>
        <v>4.2679826765122048E-3</v>
      </c>
      <c r="M138" s="18">
        <f>Markaz!M138+Avenue!M138</f>
        <v>1162.982</v>
      </c>
      <c r="N138" s="49">
        <f t="shared" si="50"/>
        <v>3.0098928459052175E-3</v>
      </c>
      <c r="O138" s="18">
        <f>Markaz!O138+Avenue!O138</f>
        <v>1162.981</v>
      </c>
      <c r="P138" s="49">
        <f t="shared" si="51"/>
        <v>4.7541308062439185E-3</v>
      </c>
      <c r="Q138" s="18">
        <f>Markaz!Q138+Avenue!Q138</f>
        <v>1162.982</v>
      </c>
      <c r="R138" s="49">
        <f t="shared" si="52"/>
        <v>3.8286103157358208E-3</v>
      </c>
      <c r="S138" s="18">
        <f>Markaz!S138+Avenue!S138</f>
        <v>1162.981</v>
      </c>
      <c r="T138" s="49">
        <f t="shared" si="53"/>
        <v>3.8005616312667204E-3</v>
      </c>
      <c r="U138" s="18">
        <f>Markaz!U138+Avenue!U138</f>
        <v>1162.981</v>
      </c>
      <c r="V138" s="49">
        <f t="shared" si="54"/>
        <v>4.7913897466073481E-3</v>
      </c>
      <c r="W138" s="18">
        <f>Markaz!W138+Avenue!W138</f>
        <v>1162.981</v>
      </c>
      <c r="X138" s="49">
        <f t="shared" si="55"/>
        <v>4.7092531693786761E-3</v>
      </c>
      <c r="Y138" s="18">
        <f>Markaz!Y138+Avenue!Y138</f>
        <v>1162.981</v>
      </c>
      <c r="Z138" s="168">
        <f t="shared" si="56"/>
        <v>3.1173409728290956E-3</v>
      </c>
      <c r="AA138" s="275">
        <f t="shared" si="57"/>
        <v>13955.775999999998</v>
      </c>
      <c r="AB138" s="203">
        <f t="shared" si="58"/>
        <v>4.0146432231783742E-3</v>
      </c>
      <c r="AC138" s="201">
        <f t="shared" si="59"/>
        <v>1162.9813333333332</v>
      </c>
      <c r="AD138" s="203">
        <f t="shared" si="60"/>
        <v>4.0146432231783751E-3</v>
      </c>
      <c r="AE138" s="75"/>
      <c r="AF138" s="158"/>
      <c r="AG138" s="75"/>
      <c r="AH138" s="201">
        <v>5319.1489361702124</v>
      </c>
      <c r="AI138" s="244">
        <f>AH138/AH12</f>
        <v>6.605749842042318E-3</v>
      </c>
      <c r="AJ138" s="282">
        <f t="shared" si="61"/>
        <v>20437.906269503543</v>
      </c>
      <c r="AK138" s="53">
        <f t="shared" si="62"/>
        <v>0</v>
      </c>
      <c r="AL138" s="53">
        <f t="shared" si="43"/>
        <v>13955.775999999998</v>
      </c>
      <c r="AM138" s="53">
        <f t="shared" si="63"/>
        <v>109320.24219999998</v>
      </c>
      <c r="AN138" s="53" t="e">
        <f>#REF!-AM138</f>
        <v>#REF!</v>
      </c>
      <c r="AO138" s="53"/>
    </row>
    <row r="139" spans="1:41">
      <c r="A139" s="2">
        <v>6504</v>
      </c>
      <c r="B139" s="111" t="s">
        <v>118</v>
      </c>
      <c r="C139" s="25">
        <f>Markaz!C139+Avenue!C139</f>
        <v>0</v>
      </c>
      <c r="D139" s="49">
        <f t="shared" si="45"/>
        <v>0</v>
      </c>
      <c r="E139" s="25">
        <f>Markaz!E139+Avenue!E139</f>
        <v>0</v>
      </c>
      <c r="F139" s="49">
        <f t="shared" si="46"/>
        <v>0</v>
      </c>
      <c r="G139" s="25">
        <f>Markaz!G139+Avenue!G139</f>
        <v>0</v>
      </c>
      <c r="H139" s="49">
        <f t="shared" si="47"/>
        <v>0</v>
      </c>
      <c r="I139" s="25">
        <f>Markaz!I139+Avenue!I139</f>
        <v>0</v>
      </c>
      <c r="J139" s="49">
        <f t="shared" si="48"/>
        <v>0</v>
      </c>
      <c r="K139" s="25">
        <f>Markaz!K139+Avenue!K139</f>
        <v>0</v>
      </c>
      <c r="L139" s="49">
        <f t="shared" si="49"/>
        <v>0</v>
      </c>
      <c r="M139" s="25">
        <f>Markaz!M139+Avenue!M139</f>
        <v>0</v>
      </c>
      <c r="N139" s="49">
        <f t="shared" si="50"/>
        <v>0</v>
      </c>
      <c r="O139" s="25">
        <f>Markaz!O139+Avenue!O139</f>
        <v>0</v>
      </c>
      <c r="P139" s="49">
        <f t="shared" si="51"/>
        <v>0</v>
      </c>
      <c r="Q139" s="25">
        <f>Markaz!Q139+Avenue!Q139</f>
        <v>0</v>
      </c>
      <c r="R139" s="49">
        <f t="shared" si="52"/>
        <v>0</v>
      </c>
      <c r="S139" s="25">
        <f>Markaz!S139+Avenue!S139</f>
        <v>0</v>
      </c>
      <c r="T139" s="49">
        <f t="shared" si="53"/>
        <v>0</v>
      </c>
      <c r="U139" s="25">
        <f>Markaz!U139+Avenue!U139</f>
        <v>0</v>
      </c>
      <c r="V139" s="49">
        <f t="shared" si="54"/>
        <v>0</v>
      </c>
      <c r="W139" s="25">
        <f>Markaz!W139+Avenue!W139</f>
        <v>0</v>
      </c>
      <c r="X139" s="49">
        <f t="shared" si="55"/>
        <v>0</v>
      </c>
      <c r="Y139" s="25">
        <f>Markaz!Y139+Avenue!Y139</f>
        <v>0</v>
      </c>
      <c r="Z139" s="168">
        <f t="shared" si="56"/>
        <v>0</v>
      </c>
      <c r="AA139" s="275">
        <f t="shared" si="57"/>
        <v>0</v>
      </c>
      <c r="AB139" s="203">
        <f t="shared" si="58"/>
        <v>0</v>
      </c>
      <c r="AC139" s="76">
        <f t="shared" si="59"/>
        <v>0</v>
      </c>
      <c r="AD139" s="203">
        <f t="shared" si="60"/>
        <v>0</v>
      </c>
      <c r="AE139" s="75"/>
      <c r="AF139" s="158"/>
      <c r="AG139" s="75"/>
      <c r="AH139" s="76"/>
      <c r="AI139" s="244">
        <f>AH139/AH12</f>
        <v>0</v>
      </c>
      <c r="AJ139" s="282">
        <f t="shared" si="61"/>
        <v>0</v>
      </c>
      <c r="AK139" s="53">
        <f t="shared" si="62"/>
        <v>0</v>
      </c>
      <c r="AL139" s="53">
        <f t="shared" si="43"/>
        <v>0</v>
      </c>
      <c r="AM139" s="53">
        <f t="shared" si="63"/>
        <v>0</v>
      </c>
      <c r="AN139" s="53" t="e">
        <f>#REF!-AM139</f>
        <v>#REF!</v>
      </c>
      <c r="AO139" s="53"/>
    </row>
    <row r="140" spans="1:41">
      <c r="A140" s="98">
        <v>6505</v>
      </c>
      <c r="B140" s="2" t="s">
        <v>119</v>
      </c>
      <c r="C140" s="25">
        <f>Markaz!C140+Avenue!C140</f>
        <v>0</v>
      </c>
      <c r="D140" s="49">
        <f t="shared" si="45"/>
        <v>0</v>
      </c>
      <c r="E140" s="25">
        <f>Markaz!E140+Avenue!E140</f>
        <v>0</v>
      </c>
      <c r="F140" s="49">
        <f t="shared" si="46"/>
        <v>0</v>
      </c>
      <c r="G140" s="25">
        <f>Markaz!G140+Avenue!G140</f>
        <v>0</v>
      </c>
      <c r="H140" s="49">
        <f t="shared" si="47"/>
        <v>0</v>
      </c>
      <c r="I140" s="25">
        <f>Markaz!I140+Avenue!I140</f>
        <v>0</v>
      </c>
      <c r="J140" s="49">
        <f t="shared" si="48"/>
        <v>0</v>
      </c>
      <c r="K140" s="25">
        <f>Markaz!K140+Avenue!K140</f>
        <v>0</v>
      </c>
      <c r="L140" s="49">
        <f t="shared" si="49"/>
        <v>0</v>
      </c>
      <c r="M140" s="25">
        <f>Markaz!M140+Avenue!M140</f>
        <v>0</v>
      </c>
      <c r="N140" s="49">
        <f t="shared" si="50"/>
        <v>0</v>
      </c>
      <c r="O140" s="25">
        <f>Markaz!O140+Avenue!O140</f>
        <v>0</v>
      </c>
      <c r="P140" s="49">
        <f t="shared" si="51"/>
        <v>0</v>
      </c>
      <c r="Q140" s="25">
        <f>Markaz!Q140+Avenue!Q140</f>
        <v>0</v>
      </c>
      <c r="R140" s="49">
        <f t="shared" si="52"/>
        <v>0</v>
      </c>
      <c r="S140" s="25">
        <f>Markaz!S140+Avenue!S140</f>
        <v>0</v>
      </c>
      <c r="T140" s="49">
        <f t="shared" si="53"/>
        <v>0</v>
      </c>
      <c r="U140" s="25">
        <f>Markaz!U140+Avenue!U140</f>
        <v>0</v>
      </c>
      <c r="V140" s="49">
        <f t="shared" si="54"/>
        <v>0</v>
      </c>
      <c r="W140" s="25">
        <f>Markaz!W140+Avenue!W140</f>
        <v>0</v>
      </c>
      <c r="X140" s="49">
        <f t="shared" si="55"/>
        <v>0</v>
      </c>
      <c r="Y140" s="25">
        <f>Markaz!Y140+Avenue!Y140</f>
        <v>0</v>
      </c>
      <c r="Z140" s="168">
        <f t="shared" si="56"/>
        <v>0</v>
      </c>
      <c r="AA140" s="275">
        <f t="shared" si="57"/>
        <v>0</v>
      </c>
      <c r="AB140" s="203">
        <f t="shared" si="58"/>
        <v>0</v>
      </c>
      <c r="AC140" s="76">
        <f t="shared" si="59"/>
        <v>0</v>
      </c>
      <c r="AD140" s="203">
        <f t="shared" si="60"/>
        <v>0</v>
      </c>
      <c r="AE140" s="75"/>
      <c r="AF140" s="158"/>
      <c r="AG140" s="75"/>
      <c r="AH140" s="76"/>
      <c r="AI140" s="244">
        <f>AH140/AH12</f>
        <v>0</v>
      </c>
      <c r="AJ140" s="282">
        <f t="shared" si="61"/>
        <v>0</v>
      </c>
      <c r="AK140" s="53">
        <f t="shared" si="62"/>
        <v>0</v>
      </c>
      <c r="AL140" s="53">
        <f t="shared" si="43"/>
        <v>0</v>
      </c>
      <c r="AM140" s="53">
        <f t="shared" si="63"/>
        <v>0</v>
      </c>
      <c r="AN140" s="53" t="e">
        <f>#REF!-AM140</f>
        <v>#REF!</v>
      </c>
      <c r="AO140" s="53"/>
    </row>
    <row r="141" spans="1:41">
      <c r="A141" s="2">
        <v>6506</v>
      </c>
      <c r="B141" s="2" t="s">
        <v>179</v>
      </c>
      <c r="C141" s="134">
        <f>Markaz!C141+Avenue!C141</f>
        <v>0</v>
      </c>
      <c r="D141" s="49">
        <f t="shared" si="45"/>
        <v>0</v>
      </c>
      <c r="E141" s="134">
        <f>Markaz!E141+Avenue!E141</f>
        <v>0</v>
      </c>
      <c r="F141" s="49">
        <f t="shared" si="46"/>
        <v>0</v>
      </c>
      <c r="G141" s="134">
        <f>Markaz!G141+Avenue!G141</f>
        <v>0</v>
      </c>
      <c r="H141" s="49">
        <f t="shared" si="47"/>
        <v>0</v>
      </c>
      <c r="I141" s="134">
        <f>Markaz!I141+Avenue!I141</f>
        <v>0</v>
      </c>
      <c r="J141" s="49">
        <f t="shared" si="48"/>
        <v>0</v>
      </c>
      <c r="K141" s="134">
        <f>Markaz!K141+Avenue!K141</f>
        <v>0</v>
      </c>
      <c r="L141" s="49">
        <f t="shared" si="49"/>
        <v>0</v>
      </c>
      <c r="M141" s="134">
        <f>Markaz!M141+Avenue!M141</f>
        <v>0</v>
      </c>
      <c r="N141" s="49">
        <f t="shared" si="50"/>
        <v>0</v>
      </c>
      <c r="O141" s="134">
        <f>Markaz!O141+Avenue!O141</f>
        <v>0</v>
      </c>
      <c r="P141" s="49">
        <f t="shared" si="51"/>
        <v>0</v>
      </c>
      <c r="Q141" s="134">
        <f>Markaz!Q141+Avenue!Q141</f>
        <v>0</v>
      </c>
      <c r="R141" s="49">
        <f t="shared" si="52"/>
        <v>0</v>
      </c>
      <c r="S141" s="134">
        <f>Markaz!S141+Avenue!S141</f>
        <v>0</v>
      </c>
      <c r="T141" s="49">
        <f t="shared" si="53"/>
        <v>0</v>
      </c>
      <c r="U141" s="134">
        <f>Markaz!U141+Avenue!U141</f>
        <v>0</v>
      </c>
      <c r="V141" s="49">
        <f t="shared" si="54"/>
        <v>0</v>
      </c>
      <c r="W141" s="134">
        <f>Markaz!W141+Avenue!W141</f>
        <v>0</v>
      </c>
      <c r="X141" s="49">
        <f t="shared" si="55"/>
        <v>0</v>
      </c>
      <c r="Y141" s="134">
        <f>Markaz!Y141+Avenue!Y141</f>
        <v>0</v>
      </c>
      <c r="Z141" s="168">
        <f t="shared" si="56"/>
        <v>0</v>
      </c>
      <c r="AA141" s="275">
        <f t="shared" si="57"/>
        <v>0</v>
      </c>
      <c r="AB141" s="203">
        <f t="shared" si="58"/>
        <v>0</v>
      </c>
      <c r="AC141" s="194">
        <f t="shared" si="59"/>
        <v>0</v>
      </c>
      <c r="AD141" s="203">
        <f t="shared" si="60"/>
        <v>0</v>
      </c>
      <c r="AE141" s="159"/>
      <c r="AF141" s="204"/>
      <c r="AG141" s="204"/>
      <c r="AH141" s="194"/>
      <c r="AI141" s="244">
        <f>AH141/AH$12</f>
        <v>0</v>
      </c>
      <c r="AJ141" s="282">
        <f t="shared" si="61"/>
        <v>0</v>
      </c>
      <c r="AK141" s="53">
        <f t="shared" si="62"/>
        <v>0</v>
      </c>
      <c r="AL141" s="53">
        <f t="shared" si="43"/>
        <v>0</v>
      </c>
      <c r="AM141" s="1"/>
      <c r="AN141" s="1"/>
      <c r="AO141" s="1"/>
    </row>
    <row r="142" spans="1:41">
      <c r="A142" s="124">
        <v>6604</v>
      </c>
      <c r="B142" s="2" t="s">
        <v>122</v>
      </c>
      <c r="C142" s="18">
        <f>Markaz!C142+Avenue!C142</f>
        <v>15479</v>
      </c>
      <c r="D142" s="73">
        <f t="shared" si="45"/>
        <v>5.9204065424871687E-2</v>
      </c>
      <c r="E142" s="18">
        <f>Markaz!E142+Avenue!E142</f>
        <v>15479</v>
      </c>
      <c r="F142" s="73">
        <f t="shared" si="46"/>
        <v>7.6097619353867607E-2</v>
      </c>
      <c r="G142" s="18">
        <f>Markaz!G142+Avenue!G142</f>
        <v>15479</v>
      </c>
      <c r="H142" s="73">
        <f t="shared" si="47"/>
        <v>4.5875720432623099E-2</v>
      </c>
      <c r="I142" s="18">
        <f>Markaz!I142+Avenue!I142</f>
        <v>15479</v>
      </c>
      <c r="J142" s="73">
        <f t="shared" si="48"/>
        <v>5.1954720996003921E-2</v>
      </c>
      <c r="K142" s="18">
        <f>Markaz!K142+Avenue!K142</f>
        <v>15479</v>
      </c>
      <c r="L142" s="73">
        <f t="shared" si="49"/>
        <v>5.680583246822813E-2</v>
      </c>
      <c r="M142" s="18">
        <f>Markaz!M142+Avenue!M142</f>
        <v>15479</v>
      </c>
      <c r="N142" s="73">
        <f t="shared" si="50"/>
        <v>4.0060922148207681E-2</v>
      </c>
      <c r="O142" s="18">
        <f>Markaz!O142+Avenue!O142</f>
        <v>15479</v>
      </c>
      <c r="P142" s="73">
        <f t="shared" si="51"/>
        <v>6.3276348237718091E-2</v>
      </c>
      <c r="Q142" s="18">
        <f>Markaz!Q142+Avenue!Q142</f>
        <v>15479</v>
      </c>
      <c r="R142" s="73">
        <f t="shared" si="52"/>
        <v>5.0957847221431436E-2</v>
      </c>
      <c r="S142" s="18">
        <f>Markaz!S142+Avenue!S142</f>
        <v>15479</v>
      </c>
      <c r="T142" s="73">
        <f t="shared" si="53"/>
        <v>5.0584569731042521E-2</v>
      </c>
      <c r="U142" s="18">
        <f>Markaz!U142+Avenue!U142</f>
        <v>15479</v>
      </c>
      <c r="V142" s="73">
        <f t="shared" si="54"/>
        <v>6.3772255856058821E-2</v>
      </c>
      <c r="W142" s="18">
        <f>Markaz!W142+Avenue!W142</f>
        <v>15479</v>
      </c>
      <c r="X142" s="73">
        <f t="shared" si="55"/>
        <v>6.2679037584287722E-2</v>
      </c>
      <c r="Y142" s="18">
        <f>Markaz!Y142+Avenue!Y142</f>
        <v>15479</v>
      </c>
      <c r="Z142" s="217">
        <f t="shared" si="56"/>
        <v>4.1491065562052662E-2</v>
      </c>
      <c r="AA142" s="275">
        <f t="shared" si="57"/>
        <v>185748</v>
      </c>
      <c r="AB142" s="203">
        <f t="shared" si="58"/>
        <v>5.3433929393746131E-2</v>
      </c>
      <c r="AC142" s="205">
        <f t="shared" si="59"/>
        <v>15479</v>
      </c>
      <c r="AD142" s="203">
        <f t="shared" si="60"/>
        <v>5.3433929393746138E-2</v>
      </c>
      <c r="AE142" s="159"/>
      <c r="AF142" s="227"/>
      <c r="AG142" s="159"/>
      <c r="AH142" s="205"/>
      <c r="AI142" s="244">
        <f>AH142/AH12</f>
        <v>0</v>
      </c>
      <c r="AJ142" s="282">
        <f t="shared" si="61"/>
        <v>201227</v>
      </c>
      <c r="AK142" s="53">
        <f t="shared" si="62"/>
        <v>0</v>
      </c>
      <c r="AL142" s="53">
        <f t="shared" si="43"/>
        <v>185748</v>
      </c>
      <c r="AM142" s="53">
        <f t="shared" si="63"/>
        <v>1455026.0000000002</v>
      </c>
      <c r="AN142" s="53" t="e">
        <f>#REF!-AM142</f>
        <v>#REF!</v>
      </c>
      <c r="AO142" s="53"/>
    </row>
    <row r="143" spans="1:41">
      <c r="A143" s="2"/>
      <c r="B143" s="2"/>
      <c r="C143" s="130">
        <f>Markaz!C143+Avenue!C143</f>
        <v>0</v>
      </c>
      <c r="D143" s="49">
        <f t="shared" si="45"/>
        <v>0</v>
      </c>
      <c r="E143" s="130">
        <f>Markaz!E143+Avenue!E143</f>
        <v>0</v>
      </c>
      <c r="F143" s="49">
        <f t="shared" si="46"/>
        <v>0</v>
      </c>
      <c r="G143" s="130">
        <f>Markaz!G143+Avenue!G143</f>
        <v>0</v>
      </c>
      <c r="H143" s="49">
        <f t="shared" si="47"/>
        <v>0</v>
      </c>
      <c r="I143" s="130">
        <f>Markaz!I143+Avenue!I143</f>
        <v>0</v>
      </c>
      <c r="J143" s="49">
        <f t="shared" si="48"/>
        <v>0</v>
      </c>
      <c r="K143" s="130">
        <f>Markaz!K143+Avenue!K143</f>
        <v>0</v>
      </c>
      <c r="L143" s="49">
        <f t="shared" si="49"/>
        <v>0</v>
      </c>
      <c r="M143" s="130">
        <f>Markaz!M143+Avenue!M143</f>
        <v>0</v>
      </c>
      <c r="N143" s="49">
        <f t="shared" si="50"/>
        <v>0</v>
      </c>
      <c r="O143" s="130">
        <f>Markaz!O143+Avenue!O143</f>
        <v>0</v>
      </c>
      <c r="P143" s="49">
        <f t="shared" si="51"/>
        <v>0</v>
      </c>
      <c r="Q143" s="130">
        <f>Markaz!Q143+Avenue!Q143</f>
        <v>0</v>
      </c>
      <c r="R143" s="49">
        <f t="shared" si="52"/>
        <v>0</v>
      </c>
      <c r="S143" s="130">
        <f>Markaz!S143+Avenue!S143</f>
        <v>0</v>
      </c>
      <c r="T143" s="49">
        <f t="shared" si="53"/>
        <v>0</v>
      </c>
      <c r="U143" s="130">
        <f>Markaz!U143+Avenue!U143</f>
        <v>0</v>
      </c>
      <c r="V143" s="49">
        <f t="shared" si="54"/>
        <v>0</v>
      </c>
      <c r="W143" s="130">
        <f>Markaz!W143+Avenue!W143</f>
        <v>0</v>
      </c>
      <c r="X143" s="49">
        <f t="shared" si="55"/>
        <v>0</v>
      </c>
      <c r="Y143" s="130">
        <f>Markaz!Y143+Avenue!Y143</f>
        <v>0</v>
      </c>
      <c r="Z143" s="168">
        <f t="shared" si="56"/>
        <v>0</v>
      </c>
      <c r="AA143" s="275">
        <f t="shared" si="57"/>
        <v>0</v>
      </c>
      <c r="AB143" s="203">
        <f t="shared" si="58"/>
        <v>0</v>
      </c>
      <c r="AC143" s="205">
        <f t="shared" si="59"/>
        <v>0</v>
      </c>
      <c r="AD143" s="203">
        <f t="shared" si="60"/>
        <v>0</v>
      </c>
      <c r="AE143" s="159"/>
      <c r="AF143" s="227"/>
      <c r="AG143" s="159"/>
      <c r="AH143" s="205">
        <f>AF143/12</f>
        <v>0</v>
      </c>
      <c r="AI143" s="244">
        <f>AH143/AH12</f>
        <v>0</v>
      </c>
      <c r="AJ143" s="282">
        <f t="shared" si="61"/>
        <v>0</v>
      </c>
      <c r="AK143" s="53">
        <f t="shared" si="62"/>
        <v>0</v>
      </c>
      <c r="AL143" s="53">
        <f t="shared" si="43"/>
        <v>0</v>
      </c>
      <c r="AM143" s="53">
        <f t="shared" si="63"/>
        <v>0</v>
      </c>
      <c r="AN143" s="53" t="e">
        <f>#REF!-AM143</f>
        <v>#REF!</v>
      </c>
      <c r="AO143" s="53"/>
    </row>
    <row r="144" spans="1:41" ht="15" customHeight="1">
      <c r="A144" s="45">
        <v>6798</v>
      </c>
      <c r="B144" s="45" t="s">
        <v>169</v>
      </c>
      <c r="C144" s="58">
        <f>Markaz!C144+Avenue!C144</f>
        <v>29449.726999999999</v>
      </c>
      <c r="D144" s="66">
        <f t="shared" si="45"/>
        <v>0.1126392896215912</v>
      </c>
      <c r="E144" s="58">
        <f>Markaz!E144+Avenue!E144</f>
        <v>29449.727999999999</v>
      </c>
      <c r="F144" s="66">
        <f t="shared" si="46"/>
        <v>0.14478029533037901</v>
      </c>
      <c r="G144" s="58">
        <f>Markaz!G144+Avenue!G144</f>
        <v>29449.726999999999</v>
      </c>
      <c r="H144" s="66">
        <f t="shared" si="47"/>
        <v>8.7281312918733256E-2</v>
      </c>
      <c r="I144" s="58">
        <f>Markaz!I144+Avenue!I144</f>
        <v>29449.727999999999</v>
      </c>
      <c r="J144" s="66">
        <f t="shared" si="48"/>
        <v>9.8846979885535535E-2</v>
      </c>
      <c r="K144" s="58">
        <f>Markaz!K144+Avenue!K144</f>
        <v>29449.726999999999</v>
      </c>
      <c r="L144" s="66">
        <f t="shared" si="49"/>
        <v>0.10807650740984913</v>
      </c>
      <c r="M144" s="58">
        <f>Markaz!M144+Avenue!M144</f>
        <v>29449.727999999999</v>
      </c>
      <c r="N144" s="66">
        <f t="shared" si="50"/>
        <v>7.6218312597318413E-2</v>
      </c>
      <c r="O144" s="58">
        <f>Markaz!O144+Avenue!O144</f>
        <v>29449.726999999999</v>
      </c>
      <c r="P144" s="66">
        <f t="shared" si="51"/>
        <v>0.12038705220994435</v>
      </c>
      <c r="Q144" s="58">
        <f>Markaz!Q144+Avenue!Q144</f>
        <v>29449.727999999999</v>
      </c>
      <c r="R144" s="66">
        <f t="shared" si="52"/>
        <v>9.6950367603637927E-2</v>
      </c>
      <c r="S144" s="58">
        <f>Markaz!S144+Avenue!S144</f>
        <v>29449.725999999999</v>
      </c>
      <c r="T144" s="66">
        <f t="shared" si="53"/>
        <v>9.6240178203184701E-2</v>
      </c>
      <c r="U144" s="58">
        <f>Markaz!U144+Avenue!U144</f>
        <v>29449.726999999999</v>
      </c>
      <c r="V144" s="66">
        <f t="shared" si="54"/>
        <v>0.12133054623264317</v>
      </c>
      <c r="W144" s="58">
        <f>Markaz!W144+Avenue!W144</f>
        <v>29449.726999999999</v>
      </c>
      <c r="X144" s="66">
        <f t="shared" si="55"/>
        <v>0.11925063282382667</v>
      </c>
      <c r="Y144" s="58">
        <f>Markaz!Y144+Avenue!Y144</f>
        <v>29449.726999999999</v>
      </c>
      <c r="Z144" s="213">
        <f t="shared" si="56"/>
        <v>7.8939243732899581E-2</v>
      </c>
      <c r="AA144" s="276">
        <f t="shared" si="57"/>
        <v>353396.72700000007</v>
      </c>
      <c r="AB144" s="230">
        <f t="shared" si="58"/>
        <v>0.10166126019391315</v>
      </c>
      <c r="AC144" s="229">
        <f t="shared" si="59"/>
        <v>29449.727250000007</v>
      </c>
      <c r="AD144" s="230">
        <f t="shared" si="60"/>
        <v>0.10166126019391317</v>
      </c>
      <c r="AE144" s="230"/>
      <c r="AF144" s="261"/>
      <c r="AG144" s="262"/>
      <c r="AH144" s="229">
        <f>SUM(AH136:AH143)</f>
        <v>63829.787234042553</v>
      </c>
      <c r="AI144" s="246">
        <f>AH144/AH$12</f>
        <v>7.9268998104507826E-2</v>
      </c>
      <c r="AJ144" s="286">
        <f t="shared" si="61"/>
        <v>446676.24148404261</v>
      </c>
      <c r="AK144" s="53">
        <f t="shared" si="62"/>
        <v>0</v>
      </c>
      <c r="AL144" s="53">
        <f t="shared" si="43"/>
        <v>353396.72700000007</v>
      </c>
      <c r="AM144" s="53">
        <f t="shared" si="63"/>
        <v>2768274.3567999993</v>
      </c>
      <c r="AN144" s="53" t="e">
        <f>#REF!-AM144</f>
        <v>#REF!</v>
      </c>
      <c r="AO144" s="53"/>
    </row>
    <row r="145" spans="1:41">
      <c r="A145" s="45">
        <v>6799</v>
      </c>
      <c r="B145" s="45" t="s">
        <v>114</v>
      </c>
      <c r="C145" s="29">
        <f>Markaz!C145+Avenue!C145</f>
        <v>107257.925137422</v>
      </c>
      <c r="D145" s="66">
        <f t="shared" si="45"/>
        <v>0.41024001661424653</v>
      </c>
      <c r="E145" s="29">
        <f>Markaz!E145+Avenue!E145</f>
        <v>108115.55559379025</v>
      </c>
      <c r="F145" s="66">
        <f t="shared" si="46"/>
        <v>0.53151601497565493</v>
      </c>
      <c r="G145" s="29">
        <f>Markaz!G145+Avenue!G145</f>
        <v>109599.23878728495</v>
      </c>
      <c r="H145" s="66">
        <f t="shared" si="47"/>
        <v>0.32482356988395805</v>
      </c>
      <c r="I145" s="29">
        <f>Markaz!I145+Avenue!I145</f>
        <v>119799.20895706616</v>
      </c>
      <c r="J145" s="66">
        <f t="shared" si="48"/>
        <v>0.40210184617264333</v>
      </c>
      <c r="K145" s="29">
        <f>Markaz!K145+Avenue!K145</f>
        <v>111321.51365801076</v>
      </c>
      <c r="L145" s="66">
        <f t="shared" si="49"/>
        <v>0.40853487014448797</v>
      </c>
      <c r="M145" s="29">
        <f>Markaz!M145+Avenue!M145</f>
        <v>103347.89189804584</v>
      </c>
      <c r="N145" s="66">
        <f t="shared" si="50"/>
        <v>0.26747282456935184</v>
      </c>
      <c r="O145" s="29">
        <f>Markaz!O145+Avenue!O145</f>
        <v>107161.57030811512</v>
      </c>
      <c r="P145" s="66">
        <f t="shared" si="51"/>
        <v>0.43806401192047306</v>
      </c>
      <c r="Q145" s="29">
        <f>Markaz!Q145+Avenue!Q145</f>
        <v>113323.63640512177</v>
      </c>
      <c r="R145" s="66">
        <f t="shared" si="52"/>
        <v>0.37306858004452742</v>
      </c>
      <c r="S145" s="29">
        <f>Markaz!S145+Avenue!S145</f>
        <v>111025.81248305849</v>
      </c>
      <c r="T145" s="66">
        <f t="shared" si="53"/>
        <v>0.3628266007813763</v>
      </c>
      <c r="U145" s="29">
        <f>Markaz!U145+Avenue!U145</f>
        <v>108864.85167162819</v>
      </c>
      <c r="V145" s="66">
        <f t="shared" si="54"/>
        <v>0.44851457940015288</v>
      </c>
      <c r="W145" s="29">
        <f>Markaz!W145+Avenue!W145</f>
        <v>106893.29023760103</v>
      </c>
      <c r="X145" s="66">
        <f t="shared" si="55"/>
        <v>0.43284246762134321</v>
      </c>
      <c r="Y145" s="29">
        <f>Markaz!Y145+Avenue!Y145</f>
        <v>111630.66379007169</v>
      </c>
      <c r="Z145" s="213">
        <f t="shared" si="56"/>
        <v>0.29922315330766347</v>
      </c>
      <c r="AA145" s="200">
        <f t="shared" si="57"/>
        <v>1318341.1589272164</v>
      </c>
      <c r="AB145" s="234">
        <f t="shared" si="58"/>
        <v>0.37924579754821763</v>
      </c>
      <c r="AC145" s="200">
        <f t="shared" si="59"/>
        <v>109861.76324393471</v>
      </c>
      <c r="AD145" s="234">
        <f t="shared" si="60"/>
        <v>0.37924579754821769</v>
      </c>
      <c r="AE145" s="75"/>
      <c r="AF145" s="158"/>
      <c r="AG145" s="75"/>
      <c r="AH145" s="200">
        <f>AH41+AH76+AH93+AH115+AH129+AH144+AH133</f>
        <v>399979.26616717328</v>
      </c>
      <c r="AI145" s="248">
        <f>AH145/AH12</f>
        <v>0.49672663916915338</v>
      </c>
      <c r="AJ145" s="286">
        <f t="shared" si="61"/>
        <v>1828182.1883383244</v>
      </c>
      <c r="AK145" s="53">
        <f t="shared" si="62"/>
        <v>0</v>
      </c>
      <c r="AL145" s="53">
        <f t="shared" si="43"/>
        <v>1318341.1589272164</v>
      </c>
      <c r="AM145" s="53">
        <f t="shared" si="63"/>
        <v>10367896.175042437</v>
      </c>
      <c r="AN145" s="53" t="e">
        <f>#REF!-AM145</f>
        <v>#REF!</v>
      </c>
      <c r="AO145" s="53"/>
    </row>
    <row r="146" spans="1:41" ht="15.75" thickBot="1">
      <c r="A146" s="10">
        <v>6999</v>
      </c>
      <c r="B146" s="10" t="s">
        <v>121</v>
      </c>
      <c r="C146" s="28">
        <f>Markaz!C146+Avenue!C146</f>
        <v>19234.692622578012</v>
      </c>
      <c r="D146" s="67">
        <f t="shared" si="45"/>
        <v>7.3568835225428342E-2</v>
      </c>
      <c r="E146" s="28">
        <f>Markaz!E146+Avenue!E146</f>
        <v>3069.3838790457066</v>
      </c>
      <c r="F146" s="154">
        <f t="shared" si="46"/>
        <v>1.5089657347278105E-2</v>
      </c>
      <c r="G146" s="28">
        <f>Markaz!G146+Avenue!G146</f>
        <v>59630.064392003391</v>
      </c>
      <c r="H146" s="67">
        <f t="shared" si="47"/>
        <v>0.17672796456016934</v>
      </c>
      <c r="I146" s="28">
        <f>Markaz!I146+Avenue!I146</f>
        <v>38909.271902227527</v>
      </c>
      <c r="J146" s="67">
        <f t="shared" si="48"/>
        <v>0.13059760745770954</v>
      </c>
      <c r="K146" s="28">
        <f>Markaz!K146+Avenue!K146</f>
        <v>40314.588636982975</v>
      </c>
      <c r="L146" s="67">
        <f t="shared" si="49"/>
        <v>0.14794907733949147</v>
      </c>
      <c r="M146" s="28">
        <f>Markaz!M146+Avenue!M146</f>
        <v>80915.018790599483</v>
      </c>
      <c r="N146" s="67">
        <f t="shared" si="50"/>
        <v>0.2094147082105412</v>
      </c>
      <c r="O146" s="28">
        <f>Markaz!O146+Avenue!O146</f>
        <v>28190.546017252978</v>
      </c>
      <c r="P146" s="67">
        <f t="shared" si="51"/>
        <v>0.11523966708437987</v>
      </c>
      <c r="Q146" s="28">
        <f>Markaz!Q146+Avenue!Q146</f>
        <v>52979.330658713319</v>
      </c>
      <c r="R146" s="67">
        <f t="shared" si="52"/>
        <v>0.1744113080690233</v>
      </c>
      <c r="S146" s="28">
        <f>Markaz!S146+Avenue!S146</f>
        <v>55715.315099710555</v>
      </c>
      <c r="T146" s="67">
        <f t="shared" si="53"/>
        <v>0.18207476204847309</v>
      </c>
      <c r="U146" s="28">
        <f>Markaz!U146+Avenue!U146</f>
        <v>13482.673438989241</v>
      </c>
      <c r="V146" s="67">
        <f t="shared" si="54"/>
        <v>5.5547548302533133E-2</v>
      </c>
      <c r="W146" s="28">
        <f>Markaz!W146+Avenue!W146</f>
        <v>25598.951138307151</v>
      </c>
      <c r="X146" s="67">
        <f t="shared" si="55"/>
        <v>0.10365770531147354</v>
      </c>
      <c r="Y146" s="28">
        <f>Markaz!Y146+Avenue!Y146</f>
        <v>66241.86297919073</v>
      </c>
      <c r="Z146" s="214">
        <f t="shared" si="56"/>
        <v>0.17755962787144594</v>
      </c>
      <c r="AA146" s="279">
        <f t="shared" si="57"/>
        <v>484281.69955560105</v>
      </c>
      <c r="AB146" s="236">
        <f t="shared" si="58"/>
        <v>0.13931280089550016</v>
      </c>
      <c r="AC146" s="279">
        <f t="shared" si="59"/>
        <v>40356.808296300085</v>
      </c>
      <c r="AD146" s="236">
        <f t="shared" si="60"/>
        <v>0.13931280089550016</v>
      </c>
      <c r="AE146" s="260"/>
      <c r="AF146" s="259"/>
      <c r="AG146" s="260"/>
      <c r="AH146" s="279">
        <f>AH135-AH144</f>
        <v>-9783.3331835924037</v>
      </c>
      <c r="AI146" s="249">
        <f>AH146/AH12</f>
        <v>-1.2149735306846625E-2</v>
      </c>
      <c r="AJ146" s="287">
        <f t="shared" si="61"/>
        <v>514855.1746683087</v>
      </c>
      <c r="AK146" s="53">
        <f t="shared" si="62"/>
        <v>0</v>
      </c>
      <c r="AL146" s="53">
        <f t="shared" si="43"/>
        <v>484281.69955560105</v>
      </c>
      <c r="AM146" s="53">
        <f t="shared" si="63"/>
        <v>4342589.6567073874</v>
      </c>
      <c r="AN146" s="53" t="e">
        <f>#REF!-AM146</f>
        <v>#REF!</v>
      </c>
      <c r="AO146" s="53"/>
    </row>
    <row r="147" spans="1:41" ht="15.75" thickTop="1">
      <c r="A147" s="1"/>
      <c r="B147" s="1"/>
      <c r="C147" s="30">
        <f>Markaz!C147+Avenue!C147</f>
        <v>0</v>
      </c>
      <c r="D147" s="72">
        <f t="shared" si="45"/>
        <v>0</v>
      </c>
      <c r="E147" s="30">
        <f>Markaz!E147+Avenue!E147</f>
        <v>0</v>
      </c>
      <c r="F147" s="72">
        <f t="shared" si="46"/>
        <v>0</v>
      </c>
      <c r="G147" s="30">
        <f>Markaz!G147+Avenue!G147</f>
        <v>0</v>
      </c>
      <c r="H147" s="72">
        <f t="shared" si="47"/>
        <v>0</v>
      </c>
      <c r="I147" s="30">
        <f>Markaz!I147+Avenue!I147</f>
        <v>0</v>
      </c>
      <c r="J147" s="72">
        <f t="shared" si="48"/>
        <v>0</v>
      </c>
      <c r="K147" s="30">
        <f>Markaz!K147+Avenue!K147</f>
        <v>0</v>
      </c>
      <c r="L147" s="72">
        <f t="shared" si="49"/>
        <v>0</v>
      </c>
      <c r="M147" s="30">
        <f>Markaz!M147+Avenue!M147</f>
        <v>0</v>
      </c>
      <c r="N147" s="72">
        <f t="shared" si="50"/>
        <v>0</v>
      </c>
      <c r="O147" s="30">
        <f>Markaz!O147+Avenue!O147</f>
        <v>0</v>
      </c>
      <c r="P147" s="72">
        <f t="shared" si="51"/>
        <v>0</v>
      </c>
      <c r="Q147" s="30">
        <f>Markaz!Q147+Avenue!Q147</f>
        <v>0</v>
      </c>
      <c r="R147" s="72">
        <f t="shared" si="52"/>
        <v>0</v>
      </c>
      <c r="S147" s="30">
        <f>Markaz!S147+Avenue!S147</f>
        <v>0</v>
      </c>
      <c r="T147" s="72">
        <f t="shared" si="53"/>
        <v>0</v>
      </c>
      <c r="U147" s="30">
        <f>Markaz!U147+Avenue!U147</f>
        <v>0</v>
      </c>
      <c r="V147" s="72">
        <f t="shared" si="54"/>
        <v>0</v>
      </c>
      <c r="W147" s="30">
        <f>Markaz!W147+Avenue!W147</f>
        <v>0</v>
      </c>
      <c r="X147" s="72">
        <f t="shared" si="55"/>
        <v>0</v>
      </c>
      <c r="Y147" s="30">
        <f>Markaz!Y147+Avenue!Y147</f>
        <v>0</v>
      </c>
      <c r="Z147" s="103">
        <f t="shared" si="56"/>
        <v>0</v>
      </c>
      <c r="AA147" s="193">
        <f t="shared" si="57"/>
        <v>0</v>
      </c>
      <c r="AB147" s="202">
        <f t="shared" si="58"/>
        <v>0</v>
      </c>
      <c r="AC147" s="197">
        <f t="shared" si="59"/>
        <v>0</v>
      </c>
      <c r="AD147" s="202">
        <f t="shared" si="60"/>
        <v>0</v>
      </c>
      <c r="AE147" s="159"/>
      <c r="AF147" s="227"/>
      <c r="AG147" s="159"/>
      <c r="AH147" s="197"/>
      <c r="AI147" s="251"/>
      <c r="AJ147" s="282">
        <f t="shared" si="61"/>
        <v>0</v>
      </c>
      <c r="AK147" s="53">
        <f t="shared" si="62"/>
        <v>0</v>
      </c>
      <c r="AL147" s="53">
        <f t="shared" si="43"/>
        <v>0</v>
      </c>
      <c r="AM147" s="53">
        <f t="shared" si="63"/>
        <v>0</v>
      </c>
      <c r="AN147" s="53" t="e">
        <f>#REF!-AM147</f>
        <v>#REF!</v>
      </c>
      <c r="AO147" s="53"/>
    </row>
    <row r="148" spans="1:41" ht="15.75" thickBot="1">
      <c r="A148" s="185"/>
      <c r="B148" s="10" t="s">
        <v>187</v>
      </c>
      <c r="C148" s="377">
        <f>Markaz!C148+Avenue!C148</f>
        <v>2308.1631147093613</v>
      </c>
      <c r="D148" s="187">
        <f t="shared" si="45"/>
        <v>8.8282602270514012E-3</v>
      </c>
      <c r="E148" s="377">
        <f>Markaz!E148+Avenue!E148</f>
        <v>368.32606548548461</v>
      </c>
      <c r="F148" s="187">
        <f t="shared" si="46"/>
        <v>1.8107588816733717E-3</v>
      </c>
      <c r="G148" s="377">
        <f>Markaz!G148+Avenue!G148</f>
        <v>7155.6077270404076</v>
      </c>
      <c r="H148" s="187">
        <f t="shared" si="47"/>
        <v>2.1207355747220321E-2</v>
      </c>
      <c r="I148" s="377">
        <f>Markaz!I148+Avenue!I148</f>
        <v>4669.1126282673031</v>
      </c>
      <c r="J148" s="187">
        <f t="shared" si="48"/>
        <v>1.5671712894925145E-2</v>
      </c>
      <c r="K148" s="377">
        <f>Markaz!K148+Avenue!K148</f>
        <v>4837.7506364379569</v>
      </c>
      <c r="L148" s="187">
        <f t="shared" si="49"/>
        <v>1.7753889280738976E-2</v>
      </c>
      <c r="M148" s="377">
        <f>Markaz!M148+Avenue!M148</f>
        <v>9709.8022548719382</v>
      </c>
      <c r="N148" s="187">
        <f t="shared" si="50"/>
        <v>2.5129764985264945E-2</v>
      </c>
      <c r="O148" s="377">
        <f>Markaz!O148+Avenue!O148</f>
        <v>3382.8655220703572</v>
      </c>
      <c r="P148" s="187">
        <f t="shared" si="51"/>
        <v>1.3828760050125585E-2</v>
      </c>
      <c r="Q148" s="377">
        <f>Markaz!Q148+Avenue!Q148</f>
        <v>6357.5196790455975</v>
      </c>
      <c r="R148" s="187">
        <f t="shared" si="52"/>
        <v>2.0929356968282794E-2</v>
      </c>
      <c r="S148" s="377">
        <f>Markaz!S148+Avenue!S148</f>
        <v>6685.8378119652662</v>
      </c>
      <c r="T148" s="187">
        <f t="shared" si="53"/>
        <v>2.1848971445816771E-2</v>
      </c>
      <c r="U148" s="377">
        <f>Markaz!U148+Avenue!U148</f>
        <v>1617.9208126787089</v>
      </c>
      <c r="V148" s="187">
        <f t="shared" si="54"/>
        <v>6.665705796303976E-3</v>
      </c>
      <c r="W148" s="377">
        <f>Markaz!W148+Avenue!W148</f>
        <v>3071.8741365968581</v>
      </c>
      <c r="X148" s="187">
        <f t="shared" si="55"/>
        <v>1.2438924637376825E-2</v>
      </c>
      <c r="Y148" s="377">
        <f>Markaz!Y148+Avenue!Y148</f>
        <v>7949.0235575028873</v>
      </c>
      <c r="Z148" s="218">
        <f t="shared" si="56"/>
        <v>2.1307155344573513E-2</v>
      </c>
      <c r="AA148" s="279">
        <f t="shared" si="57"/>
        <v>58113.803946672131</v>
      </c>
      <c r="AB148" s="241">
        <f t="shared" si="58"/>
        <v>1.6717536107460022E-2</v>
      </c>
      <c r="AC148" s="207">
        <f t="shared" si="59"/>
        <v>4842.8169955560106</v>
      </c>
      <c r="AD148" s="241">
        <f t="shared" si="60"/>
        <v>1.6717536107460022E-2</v>
      </c>
      <c r="AE148" s="75"/>
      <c r="AF148" s="76"/>
      <c r="AG148" s="76"/>
      <c r="AH148" s="207">
        <v>0</v>
      </c>
      <c r="AI148" s="252">
        <f>AH148/AH$12</f>
        <v>0</v>
      </c>
      <c r="AJ148" s="282">
        <f t="shared" si="61"/>
        <v>62956.620942228139</v>
      </c>
      <c r="AK148" s="53">
        <f t="shared" si="62"/>
        <v>0</v>
      </c>
      <c r="AL148" s="53">
        <f t="shared" si="43"/>
        <v>58113.803946672131</v>
      </c>
      <c r="AM148" s="1"/>
      <c r="AN148" s="1"/>
      <c r="AO148" s="1"/>
    </row>
    <row r="149" spans="1:41" ht="15.75" thickTop="1">
      <c r="A149" s="1"/>
      <c r="B149" s="258"/>
      <c r="C149" s="130">
        <f>Markaz!C149+Avenue!C149</f>
        <v>0</v>
      </c>
      <c r="D149" s="49">
        <f t="shared" si="45"/>
        <v>0</v>
      </c>
      <c r="E149" s="130">
        <f>Markaz!E149+Avenue!E149</f>
        <v>0</v>
      </c>
      <c r="F149" s="70">
        <f t="shared" si="46"/>
        <v>0</v>
      </c>
      <c r="G149" s="130">
        <f>Markaz!G149+Avenue!G149</f>
        <v>0</v>
      </c>
      <c r="H149" s="70">
        <f t="shared" si="47"/>
        <v>0</v>
      </c>
      <c r="I149" s="130">
        <f>Markaz!I149+Avenue!I149</f>
        <v>0</v>
      </c>
      <c r="J149" s="70">
        <f t="shared" si="48"/>
        <v>0</v>
      </c>
      <c r="K149" s="130">
        <f>Markaz!K149+Avenue!K149</f>
        <v>0</v>
      </c>
      <c r="L149" s="70">
        <f t="shared" si="49"/>
        <v>0</v>
      </c>
      <c r="M149" s="130">
        <f>Markaz!M149+Avenue!M149</f>
        <v>0</v>
      </c>
      <c r="N149" s="70">
        <f t="shared" si="50"/>
        <v>0</v>
      </c>
      <c r="O149" s="130">
        <f>Markaz!O149+Avenue!O149</f>
        <v>0</v>
      </c>
      <c r="P149" s="70">
        <f t="shared" si="51"/>
        <v>0</v>
      </c>
      <c r="Q149" s="130">
        <f>Markaz!Q149+Avenue!Q149</f>
        <v>0</v>
      </c>
      <c r="R149" s="70">
        <f t="shared" si="52"/>
        <v>0</v>
      </c>
      <c r="S149" s="130">
        <f>Markaz!S149+Avenue!S149</f>
        <v>0</v>
      </c>
      <c r="T149" s="70">
        <f t="shared" si="53"/>
        <v>0</v>
      </c>
      <c r="U149" s="130">
        <f>Markaz!U149+Avenue!U149</f>
        <v>0</v>
      </c>
      <c r="V149" s="70">
        <f t="shared" si="54"/>
        <v>0</v>
      </c>
      <c r="W149" s="130">
        <f>Markaz!W149+Avenue!W149</f>
        <v>0</v>
      </c>
      <c r="X149" s="70">
        <f t="shared" si="55"/>
        <v>0</v>
      </c>
      <c r="Y149" s="130">
        <f>Markaz!Y149+Avenue!Y149</f>
        <v>0</v>
      </c>
      <c r="Z149" s="104">
        <f t="shared" si="56"/>
        <v>0</v>
      </c>
      <c r="AA149" s="193">
        <f t="shared" si="57"/>
        <v>0</v>
      </c>
      <c r="AB149" s="202">
        <f t="shared" si="58"/>
        <v>0</v>
      </c>
      <c r="AC149" s="159">
        <f t="shared" si="59"/>
        <v>0</v>
      </c>
      <c r="AD149" s="202">
        <f t="shared" si="60"/>
        <v>0</v>
      </c>
      <c r="AE149" s="159"/>
      <c r="AF149" s="204"/>
      <c r="AG149" s="204"/>
      <c r="AH149" s="159"/>
      <c r="AI149" s="243"/>
      <c r="AJ149" s="282">
        <f t="shared" si="61"/>
        <v>0</v>
      </c>
      <c r="AK149" s="53">
        <f>AA149-AL149</f>
        <v>0</v>
      </c>
      <c r="AL149" s="53">
        <f t="shared" si="43"/>
        <v>0</v>
      </c>
      <c r="AM149" s="1"/>
      <c r="AN149" s="1"/>
      <c r="AO149" s="1"/>
    </row>
    <row r="150" spans="1:41" ht="15.75" thickBot="1">
      <c r="A150" s="185"/>
      <c r="B150" s="10" t="s">
        <v>182</v>
      </c>
      <c r="C150" s="186">
        <f>Markaz!C150+Avenue!C150</f>
        <v>0</v>
      </c>
      <c r="D150" s="187">
        <f t="shared" si="45"/>
        <v>0</v>
      </c>
      <c r="E150" s="186">
        <f>Markaz!E150+Avenue!E150</f>
        <v>0</v>
      </c>
      <c r="F150" s="187">
        <f t="shared" si="46"/>
        <v>0</v>
      </c>
      <c r="G150" s="186">
        <f>Markaz!G150+Avenue!G150</f>
        <v>0</v>
      </c>
      <c r="H150" s="187">
        <f t="shared" si="47"/>
        <v>0</v>
      </c>
      <c r="I150" s="186">
        <f>Markaz!I150+Avenue!I150</f>
        <v>0</v>
      </c>
      <c r="J150" s="187">
        <f t="shared" si="48"/>
        <v>0</v>
      </c>
      <c r="K150" s="186">
        <f>Markaz!K150+Avenue!K150</f>
        <v>0</v>
      </c>
      <c r="L150" s="187">
        <f t="shared" si="49"/>
        <v>0</v>
      </c>
      <c r="M150" s="186">
        <f>Markaz!M150+Avenue!M150</f>
        <v>0</v>
      </c>
      <c r="N150" s="187">
        <f t="shared" si="50"/>
        <v>0</v>
      </c>
      <c r="O150" s="186">
        <f>Markaz!O150+Avenue!O150</f>
        <v>0</v>
      </c>
      <c r="P150" s="187">
        <f t="shared" si="51"/>
        <v>0</v>
      </c>
      <c r="Q150" s="186">
        <f>Markaz!Q150+Avenue!Q150</f>
        <v>0</v>
      </c>
      <c r="R150" s="187">
        <f t="shared" si="52"/>
        <v>0</v>
      </c>
      <c r="S150" s="186">
        <f>Markaz!S150+Avenue!S150</f>
        <v>0</v>
      </c>
      <c r="T150" s="187">
        <f t="shared" si="53"/>
        <v>0</v>
      </c>
      <c r="U150" s="186">
        <f>Markaz!U150+Avenue!U150</f>
        <v>0</v>
      </c>
      <c r="V150" s="187">
        <f t="shared" si="54"/>
        <v>0</v>
      </c>
      <c r="W150" s="186">
        <f>Markaz!W150+Avenue!W150</f>
        <v>0</v>
      </c>
      <c r="X150" s="187">
        <f t="shared" si="55"/>
        <v>0</v>
      </c>
      <c r="Y150" s="186">
        <f>Markaz!Y150+Avenue!Y150</f>
        <v>0</v>
      </c>
      <c r="Z150" s="218">
        <f t="shared" si="56"/>
        <v>0</v>
      </c>
      <c r="AA150" s="279">
        <f t="shared" si="57"/>
        <v>0</v>
      </c>
      <c r="AB150" s="241">
        <f t="shared" si="58"/>
        <v>0</v>
      </c>
      <c r="AC150" s="207">
        <f t="shared" si="59"/>
        <v>0</v>
      </c>
      <c r="AD150" s="241">
        <f t="shared" si="60"/>
        <v>0</v>
      </c>
      <c r="AE150" s="75"/>
      <c r="AF150" s="76"/>
      <c r="AG150" s="76"/>
      <c r="AH150" s="207">
        <v>0</v>
      </c>
      <c r="AI150" s="252">
        <f>AH150/AH$12</f>
        <v>0</v>
      </c>
      <c r="AJ150" s="282">
        <f t="shared" si="61"/>
        <v>0</v>
      </c>
      <c r="AK150" s="53">
        <f>AA150-AL150</f>
        <v>0</v>
      </c>
      <c r="AL150" s="53">
        <f>C150+E150+G150+I150+K150+M150+O150+Q150+S150+U150+W150+Y150</f>
        <v>0</v>
      </c>
      <c r="AM150" s="1"/>
      <c r="AN150" s="1"/>
      <c r="AO150" s="1"/>
    </row>
    <row r="151" spans="1:41" ht="15.75" thickTop="1">
      <c r="A151" s="1"/>
      <c r="B151" s="65"/>
      <c r="C151" s="130">
        <f>Markaz!C151+Avenue!C151</f>
        <v>0</v>
      </c>
      <c r="D151" s="49">
        <f t="shared" si="45"/>
        <v>0</v>
      </c>
      <c r="E151" s="130">
        <f>Markaz!E151+Avenue!E151</f>
        <v>0</v>
      </c>
      <c r="F151" s="70">
        <f t="shared" si="46"/>
        <v>0</v>
      </c>
      <c r="G151" s="130">
        <f>Markaz!G151+Avenue!G151</f>
        <v>0</v>
      </c>
      <c r="H151" s="70">
        <f t="shared" si="47"/>
        <v>0</v>
      </c>
      <c r="I151" s="130">
        <f>Markaz!I151+Avenue!I151</f>
        <v>0</v>
      </c>
      <c r="J151" s="70">
        <f t="shared" si="48"/>
        <v>0</v>
      </c>
      <c r="K151" s="130">
        <f>Markaz!K151+Avenue!K151</f>
        <v>0</v>
      </c>
      <c r="L151" s="70">
        <f t="shared" si="49"/>
        <v>0</v>
      </c>
      <c r="M151" s="130">
        <f>Markaz!M151+Avenue!M151</f>
        <v>0</v>
      </c>
      <c r="N151" s="70">
        <f t="shared" si="50"/>
        <v>0</v>
      </c>
      <c r="O151" s="130">
        <f>Markaz!O151+Avenue!O151</f>
        <v>0</v>
      </c>
      <c r="P151" s="70">
        <f t="shared" si="51"/>
        <v>0</v>
      </c>
      <c r="Q151" s="130">
        <f>Markaz!Q151+Avenue!Q151</f>
        <v>0</v>
      </c>
      <c r="R151" s="70">
        <f t="shared" si="52"/>
        <v>0</v>
      </c>
      <c r="S151" s="130">
        <f>Markaz!S151+Avenue!S151</f>
        <v>0</v>
      </c>
      <c r="T151" s="70">
        <f t="shared" si="53"/>
        <v>0</v>
      </c>
      <c r="U151" s="130">
        <f>Markaz!U151+Avenue!U151</f>
        <v>0</v>
      </c>
      <c r="V151" s="70">
        <f t="shared" si="54"/>
        <v>0</v>
      </c>
      <c r="W151" s="130">
        <f>Markaz!W151+Avenue!W151</f>
        <v>0</v>
      </c>
      <c r="X151" s="72">
        <f t="shared" si="55"/>
        <v>0</v>
      </c>
      <c r="Y151" s="130">
        <f>Markaz!Y151+Avenue!Y151</f>
        <v>0</v>
      </c>
      <c r="Z151" s="103">
        <f t="shared" si="56"/>
        <v>0</v>
      </c>
      <c r="AA151" s="193">
        <f t="shared" si="57"/>
        <v>0</v>
      </c>
      <c r="AB151" s="202">
        <f t="shared" si="58"/>
        <v>0</v>
      </c>
      <c r="AC151" s="159">
        <f t="shared" si="59"/>
        <v>0</v>
      </c>
      <c r="AD151" s="202">
        <f t="shared" si="60"/>
        <v>0</v>
      </c>
      <c r="AE151" s="159"/>
      <c r="AF151" s="204"/>
      <c r="AG151" s="204"/>
      <c r="AH151" s="159"/>
      <c r="AI151" s="243"/>
      <c r="AJ151" s="282">
        <f t="shared" si="61"/>
        <v>0</v>
      </c>
      <c r="AK151" s="53">
        <f>AA151-AL151</f>
        <v>0</v>
      </c>
      <c r="AL151" s="53">
        <f>C151+E151+G151+I151+K151+M151+O151+Q151+S151+U151+W151+Y151</f>
        <v>0</v>
      </c>
      <c r="AM151" s="1"/>
      <c r="AN151" s="1"/>
      <c r="AO151" s="1"/>
    </row>
    <row r="152" spans="1:41" ht="15.75" thickBot="1">
      <c r="A152" s="106"/>
      <c r="B152" s="188" t="s">
        <v>181</v>
      </c>
      <c r="C152" s="290">
        <f>Markaz!C152+Avenue!C152</f>
        <v>16926.52950786865</v>
      </c>
      <c r="D152" s="120">
        <f t="shared" si="45"/>
        <v>6.4740574998376946E-2</v>
      </c>
      <c r="E152" s="290">
        <f>Markaz!E152+Avenue!E152</f>
        <v>2701.0578135602227</v>
      </c>
      <c r="F152" s="120">
        <f t="shared" si="46"/>
        <v>1.3278898465604736E-2</v>
      </c>
      <c r="G152" s="290">
        <f>Markaz!G152+Avenue!G152</f>
        <v>52474.456664962985</v>
      </c>
      <c r="H152" s="120">
        <f t="shared" si="47"/>
        <v>0.15552060881294902</v>
      </c>
      <c r="I152" s="290">
        <f>Markaz!I152+Avenue!I152</f>
        <v>34240.159273960227</v>
      </c>
      <c r="J152" s="120">
        <f t="shared" si="48"/>
        <v>0.1149258945627844</v>
      </c>
      <c r="K152" s="290">
        <f>Markaz!K152+Avenue!K152</f>
        <v>35476.838000545016</v>
      </c>
      <c r="L152" s="120">
        <f t="shared" si="49"/>
        <v>0.13019518805875249</v>
      </c>
      <c r="M152" s="290">
        <f>Markaz!M152+Avenue!M152</f>
        <v>71205.216535727552</v>
      </c>
      <c r="N152" s="120">
        <f t="shared" si="50"/>
        <v>0.18428494322527628</v>
      </c>
      <c r="O152" s="290">
        <f>Markaz!O152+Avenue!O152</f>
        <v>24807.68049518262</v>
      </c>
      <c r="P152" s="120">
        <f t="shared" si="51"/>
        <v>0.10141090703425429</v>
      </c>
      <c r="Q152" s="290">
        <f>Markaz!Q152+Avenue!Q152</f>
        <v>46621.810979667716</v>
      </c>
      <c r="R152" s="120">
        <f t="shared" si="52"/>
        <v>0.15348195110074048</v>
      </c>
      <c r="S152" s="290">
        <f>Markaz!S152+Avenue!S152</f>
        <v>49029.477287745292</v>
      </c>
      <c r="T152" s="120">
        <f t="shared" si="53"/>
        <v>0.16022579060265632</v>
      </c>
      <c r="U152" s="290">
        <f>Markaz!U152+Avenue!U152</f>
        <v>11864.752626310532</v>
      </c>
      <c r="V152" s="120">
        <f t="shared" si="54"/>
        <v>4.8881842506229158E-2</v>
      </c>
      <c r="W152" s="290">
        <f>Markaz!W152+Avenue!W152</f>
        <v>22527.077001710295</v>
      </c>
      <c r="X152" s="120">
        <f t="shared" si="55"/>
        <v>9.1218780674096736E-2</v>
      </c>
      <c r="Y152" s="290">
        <f>Markaz!Y152+Avenue!Y152</f>
        <v>58292.839421687837</v>
      </c>
      <c r="Z152" s="219">
        <f t="shared" si="56"/>
        <v>0.15625247252687241</v>
      </c>
      <c r="AA152" s="280">
        <f t="shared" si="57"/>
        <v>426167.89560892887</v>
      </c>
      <c r="AB152" s="253">
        <f t="shared" si="58"/>
        <v>0.12259526478804013</v>
      </c>
      <c r="AC152" s="254">
        <f t="shared" si="59"/>
        <v>35513.99130074407</v>
      </c>
      <c r="AD152" s="253">
        <f t="shared" si="60"/>
        <v>0.12259526478804013</v>
      </c>
      <c r="AE152" s="255"/>
      <c r="AF152" s="256"/>
      <c r="AG152" s="256"/>
      <c r="AH152" s="254">
        <f>AH146-AH148-AH150</f>
        <v>-9783.3331835924037</v>
      </c>
      <c r="AI152" s="257">
        <f>AH152/AH$12</f>
        <v>-1.2149735306846625E-2</v>
      </c>
      <c r="AJ152" s="285">
        <f t="shared" si="61"/>
        <v>451898.55372608051</v>
      </c>
      <c r="AK152" s="53">
        <f>AA152-AL152</f>
        <v>0</v>
      </c>
      <c r="AL152" s="53">
        <f>C152+E152+G152+I152+K152+M152+O152+Q152+S152+U152+W152+Y152</f>
        <v>426167.89560892887</v>
      </c>
      <c r="AM152" s="1"/>
      <c r="AN152" s="1"/>
      <c r="AO152" s="1"/>
    </row>
    <row r="153" spans="1:41" ht="15.75" thickTop="1">
      <c r="E153" s="123">
        <f>E152*9.4</f>
        <v>25389.943447466096</v>
      </c>
      <c r="AA153" s="299">
        <f>AA152*9.38</f>
        <v>3997454.8608117532</v>
      </c>
      <c r="AB153" s="300" t="s">
        <v>194</v>
      </c>
    </row>
    <row r="154" spans="1:41">
      <c r="A154" s="1"/>
      <c r="B154" s="64" t="s">
        <v>183</v>
      </c>
      <c r="C154" s="63">
        <f>C152</f>
        <v>16926.52950786865</v>
      </c>
      <c r="D154" s="15"/>
      <c r="E154" s="63">
        <f>E152+C154</f>
        <v>19627.587321428873</v>
      </c>
      <c r="F154" s="190"/>
      <c r="G154" s="289">
        <f>G152+E154</f>
        <v>72102.043986391858</v>
      </c>
      <c r="H154" s="190"/>
      <c r="I154" s="63">
        <f>I152+G154</f>
        <v>106342.20326035208</v>
      </c>
      <c r="J154" s="190"/>
      <c r="K154" s="63">
        <f>K152+I154</f>
        <v>141819.04126089709</v>
      </c>
      <c r="L154" s="190"/>
      <c r="M154" s="63">
        <f>M152+K154</f>
        <v>213024.25779662465</v>
      </c>
      <c r="N154" s="190"/>
      <c r="O154" s="63">
        <f>O152+M154</f>
        <v>237831.93829180725</v>
      </c>
      <c r="P154" s="190"/>
      <c r="Q154" s="63">
        <f>Q152+O154</f>
        <v>284453.74927147495</v>
      </c>
      <c r="R154" s="190"/>
      <c r="S154" s="63">
        <f>S152+Q154</f>
        <v>333483.22655922023</v>
      </c>
      <c r="T154" s="190"/>
      <c r="U154" s="63">
        <f>U152+S154</f>
        <v>345347.97918553074</v>
      </c>
      <c r="V154" s="190"/>
      <c r="W154" s="63">
        <f>W152+U154</f>
        <v>367875.05618724105</v>
      </c>
      <c r="X154" s="190"/>
      <c r="Y154" s="63">
        <f>Y152+W154</f>
        <v>426167.89560892887</v>
      </c>
      <c r="Z154" s="281"/>
      <c r="AA154" s="123">
        <f>(AA152+AA148)-30000</f>
        <v>454281.69955560099</v>
      </c>
      <c r="AJ154" s="99"/>
      <c r="AK154" s="1"/>
      <c r="AL154" s="191"/>
      <c r="AM154" s="191">
        <f>C154*0.985+E154*0.985+G154*0.985+I154*0.985+K154*0.985+M154*0.985+O154*0.985+Q154*0.985+S154*0.985+U154*0.985+W154*0.985+Y154*0.985</f>
        <v>2526526.4856141992</v>
      </c>
      <c r="AN154" s="191" t="e">
        <f>#REF!-AM154</f>
        <v>#REF!</v>
      </c>
      <c r="AO154" s="191"/>
    </row>
    <row r="155" spans="1:41">
      <c r="I155" s="24">
        <v>-163735.454</v>
      </c>
      <c r="AA155" s="123">
        <f>AA154*12%</f>
        <v>54513.803946672117</v>
      </c>
    </row>
    <row r="156" spans="1:41">
      <c r="B156" s="308" t="s">
        <v>194</v>
      </c>
      <c r="C156" s="42">
        <f>C154*9.4</f>
        <v>159109.37737396531</v>
      </c>
      <c r="D156" s="379"/>
      <c r="E156" s="42">
        <f>E154*9.4</f>
        <v>184499.32082143141</v>
      </c>
      <c r="F156" s="379"/>
      <c r="G156" s="42">
        <f>G154*9.4</f>
        <v>677759.21347208344</v>
      </c>
      <c r="H156" s="379"/>
      <c r="I156" s="42">
        <f>I154*9.4</f>
        <v>999616.71064730955</v>
      </c>
      <c r="J156" s="379"/>
      <c r="K156" s="42">
        <f>K154*9.4</f>
        <v>1333098.9878524328</v>
      </c>
      <c r="L156" s="379"/>
      <c r="M156" s="42">
        <f>M154*9.4</f>
        <v>2002428.0232882719</v>
      </c>
      <c r="N156" s="379"/>
      <c r="O156" s="42">
        <f>O154*9.4</f>
        <v>2235620.2199429884</v>
      </c>
      <c r="P156" s="379"/>
      <c r="Q156" s="42">
        <f>Q154*9.4</f>
        <v>2673865.2431518645</v>
      </c>
      <c r="R156" s="379"/>
      <c r="S156" s="42">
        <f>S154*9.4</f>
        <v>3134742.3296566703</v>
      </c>
      <c r="T156" s="379"/>
      <c r="U156" s="42">
        <f>U154*9.4</f>
        <v>3246271.0043439893</v>
      </c>
      <c r="V156" s="379"/>
      <c r="W156" s="42">
        <f>W154*9.4</f>
        <v>3458025.5281600659</v>
      </c>
      <c r="X156" s="379"/>
      <c r="Y156" s="42">
        <f>Y154*9.4</f>
        <v>4005978.2187239313</v>
      </c>
      <c r="Z156" s="379"/>
      <c r="AA156" s="123">
        <f>AA155*9.4</f>
        <v>512429.75709871791</v>
      </c>
    </row>
    <row r="157" spans="1:41">
      <c r="E157" s="123" t="s">
        <v>188</v>
      </c>
      <c r="G157" s="123" t="s">
        <v>188</v>
      </c>
      <c r="I157" s="24" t="s">
        <v>188</v>
      </c>
      <c r="K157" s="123" t="s">
        <v>188</v>
      </c>
    </row>
    <row r="158" spans="1:41">
      <c r="E158" s="123" t="s">
        <v>188</v>
      </c>
      <c r="I158" s="24" t="s">
        <v>188</v>
      </c>
    </row>
    <row r="159" spans="1:41" ht="15.75" thickBot="1">
      <c r="I159" s="24">
        <f>SUM(I152+I142)*9.4</f>
        <v>467360.09717522614</v>
      </c>
    </row>
    <row r="160" spans="1:41" s="101" customFormat="1" ht="15" hidden="1" customHeight="1">
      <c r="B160" s="292" t="s">
        <v>121</v>
      </c>
      <c r="C160" s="293">
        <f>C152</f>
        <v>16926.52950786865</v>
      </c>
      <c r="D160" s="293"/>
      <c r="E160" s="293">
        <f>E152</f>
        <v>2701.0578135602227</v>
      </c>
      <c r="F160" s="293"/>
      <c r="G160" s="293">
        <f>G152</f>
        <v>52474.456664962985</v>
      </c>
      <c r="H160" s="293"/>
      <c r="I160" s="293">
        <f>I152</f>
        <v>34240.159273960227</v>
      </c>
      <c r="J160" s="293"/>
      <c r="K160" s="293">
        <f>K152</f>
        <v>35476.838000545016</v>
      </c>
      <c r="L160" s="293"/>
      <c r="M160" s="293">
        <f>M152</f>
        <v>71205.216535727552</v>
      </c>
      <c r="N160" s="293"/>
      <c r="O160" s="293">
        <f>O152</f>
        <v>24807.68049518262</v>
      </c>
      <c r="P160" s="293"/>
      <c r="Q160" s="293">
        <f>Q152</f>
        <v>46621.810979667716</v>
      </c>
      <c r="R160" s="293"/>
      <c r="S160" s="293">
        <f>S152</f>
        <v>49029.477287745292</v>
      </c>
      <c r="T160" s="293"/>
      <c r="U160" s="293">
        <f>U152</f>
        <v>11864.752626310532</v>
      </c>
      <c r="V160" s="293"/>
      <c r="W160" s="293">
        <f>W152</f>
        <v>22527.077001710295</v>
      </c>
      <c r="X160" s="293"/>
      <c r="Y160" s="293">
        <f>Y152</f>
        <v>58292.839421687837</v>
      </c>
      <c r="Z160" s="293"/>
      <c r="AA160" s="293">
        <f>AA152</f>
        <v>426167.89560892887</v>
      </c>
      <c r="AB160" s="293"/>
      <c r="AC160" s="293">
        <f>AC152</f>
        <v>35513.99130074407</v>
      </c>
      <c r="AD160" s="293"/>
    </row>
    <row r="161" spans="2:30" s="101" customFormat="1" ht="15" hidden="1" customHeight="1">
      <c r="C161" s="102"/>
      <c r="D161" s="217"/>
      <c r="E161" s="102"/>
      <c r="F161" s="103"/>
      <c r="G161" s="102"/>
      <c r="H161" s="103"/>
      <c r="I161" s="102"/>
      <c r="J161" s="103"/>
      <c r="K161" s="102"/>
      <c r="L161" s="103"/>
      <c r="M161" s="102"/>
      <c r="N161" s="103"/>
      <c r="O161" s="102"/>
      <c r="P161" s="103"/>
      <c r="Q161" s="102"/>
      <c r="R161" s="103"/>
      <c r="S161" s="102"/>
      <c r="T161" s="103"/>
      <c r="U161" s="102"/>
      <c r="V161" s="103"/>
      <c r="W161" s="102"/>
      <c r="X161" s="103"/>
      <c r="Y161" s="102"/>
      <c r="Z161" s="103"/>
      <c r="AA161" s="100"/>
      <c r="AB161" s="104"/>
      <c r="AC161" s="100"/>
      <c r="AD161" s="104"/>
    </row>
    <row r="162" spans="2:30" s="101" customFormat="1" ht="15" hidden="1" customHeight="1">
      <c r="B162" s="101" t="s">
        <v>189</v>
      </c>
      <c r="C162" s="102">
        <f>C150</f>
        <v>0</v>
      </c>
      <c r="D162" s="217"/>
      <c r="E162" s="102">
        <f>E150</f>
        <v>0</v>
      </c>
      <c r="F162" s="103"/>
      <c r="G162" s="102">
        <f>G150</f>
        <v>0</v>
      </c>
      <c r="H162" s="103"/>
      <c r="I162" s="102">
        <f>I150</f>
        <v>0</v>
      </c>
      <c r="J162" s="103"/>
      <c r="K162" s="102">
        <f>K150</f>
        <v>0</v>
      </c>
      <c r="L162" s="103"/>
      <c r="M162" s="102">
        <f>M150</f>
        <v>0</v>
      </c>
      <c r="N162" s="103"/>
      <c r="O162" s="102">
        <f>O150</f>
        <v>0</v>
      </c>
      <c r="P162" s="103"/>
      <c r="Q162" s="102">
        <f>Q150</f>
        <v>0</v>
      </c>
      <c r="R162" s="103"/>
      <c r="S162" s="102">
        <f>S150</f>
        <v>0</v>
      </c>
      <c r="T162" s="103"/>
      <c r="U162" s="102">
        <f>U150</f>
        <v>0</v>
      </c>
      <c r="V162" s="103"/>
      <c r="W162" s="102">
        <f>W150</f>
        <v>0</v>
      </c>
      <c r="X162" s="103"/>
      <c r="Y162" s="102">
        <f>Y150</f>
        <v>0</v>
      </c>
      <c r="Z162" s="103"/>
      <c r="AA162" s="102">
        <f>AA150</f>
        <v>0</v>
      </c>
      <c r="AB162" s="104"/>
      <c r="AC162" s="102">
        <f>AC150</f>
        <v>0</v>
      </c>
      <c r="AD162" s="104"/>
    </row>
    <row r="163" spans="2:30" s="101" customFormat="1" ht="15.75" hidden="1" customHeight="1">
      <c r="C163" s="102"/>
      <c r="D163" s="217"/>
      <c r="E163" s="102"/>
      <c r="F163" s="103"/>
      <c r="G163" s="102"/>
      <c r="H163" s="103"/>
      <c r="I163" s="102"/>
      <c r="J163" s="103"/>
      <c r="K163" s="102"/>
      <c r="L163" s="103"/>
      <c r="M163" s="102"/>
      <c r="N163" s="103"/>
      <c r="O163" s="102"/>
      <c r="P163" s="103"/>
      <c r="Q163" s="102"/>
      <c r="R163" s="103"/>
      <c r="S163" s="102"/>
      <c r="T163" s="103"/>
      <c r="U163" s="102"/>
      <c r="V163" s="103"/>
      <c r="W163" s="102"/>
      <c r="X163" s="103"/>
      <c r="Y163" s="102"/>
      <c r="Z163" s="103"/>
      <c r="AA163" s="100"/>
      <c r="AB163" s="104"/>
      <c r="AC163" s="100"/>
      <c r="AD163" s="104"/>
    </row>
    <row r="164" spans="2:30" s="101" customFormat="1" ht="15.75" hidden="1" customHeight="1">
      <c r="B164" s="101" t="s">
        <v>190</v>
      </c>
      <c r="C164" s="102">
        <f>C142</f>
        <v>15479</v>
      </c>
      <c r="D164" s="102"/>
      <c r="E164" s="102">
        <f>E142</f>
        <v>15479</v>
      </c>
      <c r="F164" s="102"/>
      <c r="G164" s="102">
        <f>G142</f>
        <v>15479</v>
      </c>
      <c r="H164" s="102"/>
      <c r="I164" s="102">
        <f>I142</f>
        <v>15479</v>
      </c>
      <c r="J164" s="102"/>
      <c r="K164" s="102">
        <f>K142</f>
        <v>15479</v>
      </c>
      <c r="L164" s="102"/>
      <c r="M164" s="102">
        <f>M142</f>
        <v>15479</v>
      </c>
      <c r="N164" s="102"/>
      <c r="O164" s="102">
        <f>O142</f>
        <v>15479</v>
      </c>
      <c r="P164" s="102"/>
      <c r="Q164" s="102">
        <f>Q142</f>
        <v>15479</v>
      </c>
      <c r="R164" s="102"/>
      <c r="S164" s="102">
        <f>S142</f>
        <v>15479</v>
      </c>
      <c r="T164" s="102"/>
      <c r="U164" s="102">
        <f>U142</f>
        <v>15479</v>
      </c>
      <c r="V164" s="102"/>
      <c r="W164" s="102">
        <f>W142</f>
        <v>15479</v>
      </c>
      <c r="X164" s="102"/>
      <c r="Y164" s="102">
        <f>Y142</f>
        <v>15479</v>
      </c>
      <c r="Z164" s="102"/>
      <c r="AA164" s="102">
        <f>AA142</f>
        <v>185748</v>
      </c>
      <c r="AB164" s="102"/>
      <c r="AC164" s="102">
        <f>AC142</f>
        <v>15479</v>
      </c>
      <c r="AD164" s="102"/>
    </row>
    <row r="165" spans="2:30" s="101" customFormat="1" ht="15.75" hidden="1" customHeight="1">
      <c r="C165" s="102"/>
      <c r="D165" s="217"/>
      <c r="E165" s="102"/>
      <c r="F165" s="103"/>
      <c r="G165" s="102"/>
      <c r="H165" s="103"/>
      <c r="I165" s="102"/>
      <c r="J165" s="103"/>
      <c r="K165" s="102"/>
      <c r="L165" s="103"/>
      <c r="M165" s="102"/>
      <c r="N165" s="103"/>
      <c r="O165" s="102"/>
      <c r="P165" s="103"/>
      <c r="Q165" s="102"/>
      <c r="R165" s="103"/>
      <c r="S165" s="102"/>
      <c r="T165" s="103"/>
      <c r="U165" s="102"/>
      <c r="V165" s="103"/>
      <c r="W165" s="102"/>
      <c r="X165" s="103"/>
      <c r="Y165" s="102"/>
      <c r="Z165" s="103"/>
      <c r="AA165" s="102"/>
      <c r="AB165" s="104"/>
      <c r="AC165" s="102"/>
      <c r="AD165" s="104"/>
    </row>
    <row r="166" spans="2:30" s="101" customFormat="1" ht="15" hidden="1" customHeight="1">
      <c r="B166" s="101" t="s">
        <v>191</v>
      </c>
      <c r="C166" s="102">
        <f>C144-C142</f>
        <v>13970.726999999999</v>
      </c>
      <c r="D166" s="102"/>
      <c r="E166" s="102">
        <f>E144-E142</f>
        <v>13970.727999999999</v>
      </c>
      <c r="F166" s="102"/>
      <c r="G166" s="102">
        <f>G144-G142</f>
        <v>13970.726999999999</v>
      </c>
      <c r="H166" s="102"/>
      <c r="I166" s="102">
        <f>I144-I142</f>
        <v>13970.727999999999</v>
      </c>
      <c r="J166" s="102"/>
      <c r="K166" s="102">
        <f>K144-K142</f>
        <v>13970.726999999999</v>
      </c>
      <c r="L166" s="102"/>
      <c r="M166" s="102">
        <f>M144-M142</f>
        <v>13970.727999999999</v>
      </c>
      <c r="N166" s="102"/>
      <c r="O166" s="102">
        <f>O144-O142</f>
        <v>13970.726999999999</v>
      </c>
      <c r="P166" s="102"/>
      <c r="Q166" s="102">
        <f>Q144-Q142</f>
        <v>13970.727999999999</v>
      </c>
      <c r="R166" s="102"/>
      <c r="S166" s="102">
        <f>S144-S142</f>
        <v>13970.725999999999</v>
      </c>
      <c r="T166" s="102"/>
      <c r="U166" s="102">
        <f>U144-U142</f>
        <v>13970.726999999999</v>
      </c>
      <c r="V166" s="102"/>
      <c r="W166" s="102">
        <f>W144-W142</f>
        <v>13970.726999999999</v>
      </c>
      <c r="X166" s="102"/>
      <c r="Y166" s="102">
        <f>Y144-Y142</f>
        <v>13970.726999999999</v>
      </c>
      <c r="Z166" s="102"/>
      <c r="AA166" s="102">
        <f>AA144-AA142</f>
        <v>167648.72700000007</v>
      </c>
      <c r="AB166" s="102"/>
      <c r="AC166" s="102">
        <f>AC144-AC142</f>
        <v>13970.727250000007</v>
      </c>
      <c r="AD166" s="102"/>
    </row>
    <row r="167" spans="2:30" s="101" customFormat="1" ht="15" hidden="1" customHeight="1">
      <c r="C167" s="102"/>
      <c r="D167" s="217"/>
      <c r="E167" s="102"/>
      <c r="F167" s="103"/>
      <c r="G167" s="102"/>
      <c r="H167" s="103"/>
      <c r="I167" s="102"/>
      <c r="J167" s="103"/>
      <c r="K167" s="102"/>
      <c r="L167" s="103"/>
      <c r="M167" s="102"/>
      <c r="N167" s="103"/>
      <c r="O167" s="102"/>
      <c r="P167" s="103"/>
      <c r="Q167" s="102"/>
      <c r="R167" s="103"/>
      <c r="S167" s="102"/>
      <c r="T167" s="103"/>
      <c r="U167" s="102"/>
      <c r="V167" s="103"/>
      <c r="W167" s="102"/>
      <c r="X167" s="103"/>
      <c r="Y167" s="102"/>
      <c r="Z167" s="103"/>
      <c r="AA167" s="100"/>
      <c r="AB167" s="104"/>
      <c r="AC167" s="102"/>
      <c r="AD167" s="104"/>
    </row>
    <row r="168" spans="2:30" s="101" customFormat="1" ht="15" hidden="1" customHeight="1">
      <c r="C168" s="102"/>
      <c r="D168" s="217"/>
      <c r="E168" s="102"/>
      <c r="F168" s="103"/>
      <c r="G168" s="102"/>
      <c r="H168" s="103"/>
      <c r="I168" s="102"/>
      <c r="J168" s="103"/>
      <c r="K168" s="102"/>
      <c r="L168" s="103"/>
      <c r="M168" s="102"/>
      <c r="N168" s="103"/>
      <c r="O168" s="102"/>
      <c r="P168" s="103"/>
      <c r="Q168" s="102"/>
      <c r="R168" s="103"/>
      <c r="S168" s="102"/>
      <c r="T168" s="103"/>
      <c r="U168" s="102"/>
      <c r="V168" s="103"/>
      <c r="W168" s="102"/>
      <c r="X168" s="103"/>
      <c r="Y168" s="102"/>
      <c r="Z168" s="103"/>
      <c r="AA168" s="100"/>
      <c r="AB168" s="104"/>
      <c r="AC168" s="100"/>
      <c r="AD168" s="104"/>
    </row>
    <row r="169" spans="2:30" s="101" customFormat="1" ht="15" hidden="1" customHeight="1">
      <c r="B169" s="294" t="s">
        <v>192</v>
      </c>
      <c r="C169" s="295">
        <f>C162+C160+C164+C166</f>
        <v>46376.256507868646</v>
      </c>
      <c r="D169" s="296"/>
      <c r="E169" s="295">
        <f>E162+E160+E164+E166</f>
        <v>32150.785813560222</v>
      </c>
      <c r="F169" s="295"/>
      <c r="G169" s="295">
        <f>G162+G160+G164+G166</f>
        <v>81924.183664962984</v>
      </c>
      <c r="H169" s="295"/>
      <c r="I169" s="295">
        <f>I162+I160+I164+I166</f>
        <v>63689.887273960223</v>
      </c>
      <c r="J169" s="295"/>
      <c r="K169" s="295">
        <f>K162+K160+K164+K166</f>
        <v>64926.565000545015</v>
      </c>
      <c r="L169" s="295"/>
      <c r="M169" s="295">
        <f>M162+M160+M164+M166</f>
        <v>100654.94453572755</v>
      </c>
      <c r="N169" s="295"/>
      <c r="O169" s="295">
        <f>O162+O160+O164+O166</f>
        <v>54257.407495182619</v>
      </c>
      <c r="P169" s="295"/>
      <c r="Q169" s="295">
        <f>Q162+Q160+Q164+Q166</f>
        <v>76071.538979667719</v>
      </c>
      <c r="R169" s="295"/>
      <c r="S169" s="295">
        <f>S162+S160+S164+S166</f>
        <v>78479.203287745288</v>
      </c>
      <c r="T169" s="295"/>
      <c r="U169" s="295">
        <f>U162+U160+U164+U166</f>
        <v>41314.479626310531</v>
      </c>
      <c r="V169" s="295"/>
      <c r="W169" s="295">
        <f>W162+W160+W164+W166</f>
        <v>51976.80400171029</v>
      </c>
      <c r="X169" s="295"/>
      <c r="Y169" s="295">
        <f>Y162+Y160+Y164+Y166</f>
        <v>87742.566421687836</v>
      </c>
      <c r="Z169" s="295"/>
      <c r="AA169" s="295">
        <f>AA162+AA160+AA164+AA166</f>
        <v>779564.62260892894</v>
      </c>
      <c r="AB169" s="104"/>
      <c r="AC169" s="102">
        <f>AA169/12</f>
        <v>64963.718550744081</v>
      </c>
      <c r="AD169" s="104"/>
    </row>
    <row r="170" spans="2:30" s="101" customFormat="1" ht="15" hidden="1" customHeight="1">
      <c r="C170" s="102"/>
      <c r="D170" s="217"/>
      <c r="E170" s="102"/>
      <c r="F170" s="103"/>
      <c r="G170" s="102"/>
      <c r="H170" s="103"/>
      <c r="I170" s="102"/>
      <c r="J170" s="103"/>
      <c r="K170" s="102"/>
      <c r="L170" s="103"/>
      <c r="M170" s="102"/>
      <c r="N170" s="103"/>
      <c r="O170" s="102"/>
      <c r="P170" s="103"/>
      <c r="Q170" s="102"/>
      <c r="R170" s="103"/>
      <c r="S170" s="102"/>
      <c r="T170" s="103"/>
      <c r="U170" s="102"/>
      <c r="V170" s="103"/>
      <c r="W170" s="102"/>
      <c r="X170" s="103"/>
      <c r="Y170" s="102"/>
      <c r="Z170" s="103"/>
      <c r="AA170" s="100"/>
      <c r="AB170" s="104"/>
      <c r="AC170" s="100"/>
      <c r="AD170" s="104"/>
    </row>
    <row r="171" spans="2:30" s="101" customFormat="1" ht="15" hidden="1" customHeight="1">
      <c r="B171" s="297"/>
      <c r="C171" s="102"/>
      <c r="D171" s="217"/>
      <c r="E171" s="102"/>
      <c r="F171" s="103"/>
      <c r="G171" s="102"/>
      <c r="H171" s="103"/>
      <c r="I171" s="102"/>
      <c r="J171" s="103"/>
      <c r="K171" s="102"/>
      <c r="L171" s="103"/>
      <c r="M171" s="102"/>
      <c r="N171" s="103"/>
      <c r="O171" s="102"/>
      <c r="P171" s="103"/>
      <c r="Q171" s="102"/>
      <c r="R171" s="103"/>
      <c r="S171" s="102"/>
      <c r="T171" s="103"/>
      <c r="U171" s="102"/>
      <c r="V171" s="103"/>
      <c r="W171" s="102"/>
      <c r="X171" s="103"/>
      <c r="Y171" s="102"/>
      <c r="Z171" s="103"/>
      <c r="AA171" s="100"/>
      <c r="AB171" s="104"/>
      <c r="AC171" s="100"/>
      <c r="AD171" s="104"/>
    </row>
    <row r="172" spans="2:30" s="101" customFormat="1" ht="15" hidden="1" customHeight="1">
      <c r="B172" s="298" t="s">
        <v>193</v>
      </c>
      <c r="C172" s="293">
        <f>C169</f>
        <v>46376.256507868646</v>
      </c>
      <c r="D172" s="293"/>
      <c r="E172" s="293">
        <f>C172+E169</f>
        <v>78527.04232142886</v>
      </c>
      <c r="F172" s="293"/>
      <c r="G172" s="293">
        <f>E172+G169</f>
        <v>160451.22598639183</v>
      </c>
      <c r="H172" s="293"/>
      <c r="I172" s="293">
        <f>G172+I169</f>
        <v>224141.11326035205</v>
      </c>
      <c r="J172" s="293"/>
      <c r="K172" s="293">
        <f>I172+K169</f>
        <v>289067.67826089705</v>
      </c>
      <c r="L172" s="293"/>
      <c r="M172" s="293">
        <f>K172+M169</f>
        <v>389722.62279662461</v>
      </c>
      <c r="N172" s="293"/>
      <c r="O172" s="293">
        <f>M172+O169</f>
        <v>443980.03029180726</v>
      </c>
      <c r="P172" s="293"/>
      <c r="Q172" s="293">
        <f>O172+Q169</f>
        <v>520051.56927147496</v>
      </c>
      <c r="R172" s="293"/>
      <c r="S172" s="293">
        <f>Q172+S169</f>
        <v>598530.7725592202</v>
      </c>
      <c r="T172" s="293"/>
      <c r="U172" s="293">
        <f>S172+U169</f>
        <v>639845.25218553073</v>
      </c>
      <c r="V172" s="293"/>
      <c r="W172" s="293">
        <f>U172+W169</f>
        <v>691822.05618724099</v>
      </c>
      <c r="X172" s="293"/>
      <c r="Y172" s="293">
        <f>W172+Y169</f>
        <v>779564.62260892882</v>
      </c>
      <c r="Z172" s="293"/>
      <c r="AA172" s="293"/>
      <c r="AB172" s="293"/>
      <c r="AC172" s="293"/>
      <c r="AD172" s="293"/>
    </row>
    <row r="173" spans="2:30" ht="15.75" thickBot="1">
      <c r="V173" s="652" t="s">
        <v>249</v>
      </c>
      <c r="W173" s="653"/>
      <c r="X173" s="653"/>
      <c r="Y173" s="653"/>
      <c r="Z173" s="653"/>
      <c r="AA173" s="654"/>
    </row>
    <row r="174" spans="2:30" ht="15.75" thickBot="1">
      <c r="V174" s="435"/>
      <c r="W174" s="436"/>
      <c r="X174" s="436"/>
      <c r="Y174" s="437" t="s">
        <v>238</v>
      </c>
      <c r="Z174" s="655"/>
      <c r="AA174" s="656"/>
    </row>
    <row r="175" spans="2:30">
      <c r="V175" s="438"/>
      <c r="W175" s="439" t="s">
        <v>239</v>
      </c>
      <c r="X175" s="440"/>
      <c r="Y175" s="441">
        <f>AA146</f>
        <v>484281.69955560105</v>
      </c>
      <c r="Z175" s="442"/>
      <c r="AA175" s="443"/>
    </row>
    <row r="176" spans="2:30">
      <c r="V176" s="438"/>
      <c r="W176" s="439"/>
      <c r="X176" s="440"/>
      <c r="Y176" s="441"/>
      <c r="Z176" s="444"/>
      <c r="AA176" s="445"/>
    </row>
    <row r="177" spans="20:27">
      <c r="V177" s="438"/>
      <c r="W177" s="446" t="s">
        <v>240</v>
      </c>
      <c r="X177" s="440"/>
      <c r="Y177" s="447">
        <f>Y175+Y176</f>
        <v>484281.69955560105</v>
      </c>
      <c r="Z177" s="444"/>
      <c r="AA177" s="448"/>
    </row>
    <row r="178" spans="20:27">
      <c r="V178" s="438" t="s">
        <v>241</v>
      </c>
      <c r="W178" s="446" t="s">
        <v>242</v>
      </c>
      <c r="X178" s="440"/>
      <c r="Y178" s="441">
        <v>30000</v>
      </c>
      <c r="Z178" s="449"/>
      <c r="AA178" s="450"/>
    </row>
    <row r="179" spans="20:27">
      <c r="V179" s="451"/>
      <c r="W179" s="452" t="s">
        <v>243</v>
      </c>
      <c r="X179" s="453"/>
      <c r="Y179" s="454">
        <f>Y177-Y178</f>
        <v>454281.69955560105</v>
      </c>
      <c r="Z179" s="455"/>
      <c r="AA179" s="456"/>
    </row>
    <row r="180" spans="20:27" ht="15.75" thickBot="1">
      <c r="V180" s="657" t="s">
        <v>244</v>
      </c>
      <c r="W180" s="658"/>
      <c r="X180" s="659"/>
      <c r="Y180" s="457">
        <f>Y179*12%</f>
        <v>54513.803946672124</v>
      </c>
      <c r="Z180" s="458"/>
      <c r="AA180" s="459"/>
    </row>
    <row r="181" spans="20:27" ht="15.75" thickBot="1">
      <c r="V181" s="460"/>
      <c r="W181" s="461" t="s">
        <v>245</v>
      </c>
      <c r="X181" s="462"/>
      <c r="Y181" s="463">
        <f>Y177-Y180</f>
        <v>429767.89560892893</v>
      </c>
      <c r="Z181" s="660"/>
      <c r="AA181" s="661"/>
    </row>
    <row r="182" spans="20:27" ht="15.75" thickBot="1">
      <c r="V182" s="648" t="s">
        <v>246</v>
      </c>
      <c r="W182" s="649"/>
      <c r="X182" s="649"/>
      <c r="Y182" s="464">
        <f>Y180*9.4</f>
        <v>512429.75709871796</v>
      </c>
      <c r="Z182" s="465"/>
      <c r="AA182" s="466"/>
    </row>
    <row r="183" spans="20:27">
      <c r="W183" s="123"/>
      <c r="Y183" s="100"/>
      <c r="AA183" s="123"/>
    </row>
    <row r="184" spans="20:27">
      <c r="V184" s="650" t="s">
        <v>247</v>
      </c>
      <c r="W184" s="651"/>
      <c r="AA184" s="123"/>
    </row>
    <row r="185" spans="20:27">
      <c r="V185" s="467">
        <v>2012</v>
      </c>
      <c r="W185" s="204">
        <v>15055</v>
      </c>
      <c r="AA185" s="123"/>
    </row>
    <row r="186" spans="20:27">
      <c r="V186" s="467">
        <v>2013</v>
      </c>
      <c r="W186" s="204">
        <v>18251.278999999999</v>
      </c>
      <c r="AA186" s="123"/>
    </row>
    <row r="187" spans="20:27">
      <c r="V187" s="467">
        <v>2014</v>
      </c>
      <c r="W187" s="204">
        <v>72662</v>
      </c>
      <c r="AA187" s="123"/>
    </row>
    <row r="188" spans="20:27">
      <c r="T188" s="299" t="s">
        <v>248</v>
      </c>
      <c r="V188" s="468">
        <v>2015</v>
      </c>
      <c r="W188" s="469">
        <f>Y180</f>
        <v>54513.803946672124</v>
      </c>
    </row>
  </sheetData>
  <customSheetViews>
    <customSheetView guid="{AA4262F8-9AB3-4147-94E2-8DEF81F7E83C}" fitToPage="1" hiddenRows="1">
      <pane xSplit="2" ySplit="5" topLeftCell="C108" activePane="bottomRight" state="frozen"/>
      <selection pane="bottomRight" activeCell="I106" sqref="I106"/>
      <pageMargins left="0.7" right="0.7" top="0.75" bottom="0.75" header="0.3" footer="0.3"/>
      <printOptions gridLines="1"/>
      <pageSetup paperSize="8" scale="39" fitToHeight="2" orientation="landscape" r:id="rId1"/>
    </customSheetView>
    <customSheetView guid="{A8167CC1-C909-4D11-B8D5-4313083C8125}" fitToPage="1" hiddenRows="1" hiddenColumns="1">
      <pane xSplit="2" ySplit="5" topLeftCell="C115" activePane="bottomRight" state="frozen"/>
      <selection pane="bottomRight" activeCell="I130" sqref="I130"/>
      <pageMargins left="0.7" right="0.7" top="0.75" bottom="0.75" header="0.3" footer="0.3"/>
      <printOptions gridLines="1"/>
      <pageSetup paperSize="8" scale="24" fitToHeight="2" orientation="landscape" r:id="rId2"/>
    </customSheetView>
    <customSheetView guid="{C4C974E7-2FCF-4C3A-A063-03001047949F}" topLeftCell="A104">
      <selection activeCell="A141" sqref="A141:XFD141"/>
      <pageMargins left="0.7" right="0.7" top="0.75" bottom="0.75" header="0.3" footer="0.3"/>
    </customSheetView>
    <customSheetView guid="{B2BB7590-1CD2-4457-858D-F8835B99F338}" fitToPage="1" hiddenRows="1">
      <pane xSplit="2" ySplit="5" topLeftCell="K105" activePane="bottomRight" state="frozen"/>
      <selection pane="bottomRight" activeCell="O105" sqref="O105"/>
      <pageMargins left="0.7" right="0.7" top="0.75" bottom="0.75" header="0.3" footer="0.3"/>
      <printOptions gridLines="1"/>
      <pageSetup paperSize="8" scale="39" fitToHeight="2" orientation="landscape" r:id="rId3"/>
    </customSheetView>
    <customSheetView guid="{209662B1-09B2-4060-A837-250CED7848ED}" fitToPage="1" hiddenRows="1">
      <pane xSplit="2" ySplit="5" topLeftCell="C39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4"/>
    </customSheetView>
    <customSheetView guid="{02AA01BD-C75B-4B6E-A8E6-EEB6E90D29E4}" fitToPage="1" hiddenRows="1">
      <pane xSplit="2" ySplit="5" topLeftCell="U6" activePane="bottomRight" state="frozen"/>
      <selection pane="bottomRight" activeCell="AG11" sqref="AG11"/>
      <pageMargins left="0.7" right="0.7" top="0.75" bottom="0.75" header="0.3" footer="0.3"/>
      <printOptions gridLines="1"/>
      <pageSetup paperSize="8" scale="39" fitToHeight="2" orientation="landscape" r:id="rId5"/>
    </customSheetView>
    <customSheetView guid="{879F34B1-DA85-44D2-99EE-74A633FB2C72}" fitToPage="1" hiddenRows="1">
      <pane xSplit="2" ySplit="5" topLeftCell="M6" activePane="bottomRight" state="frozen"/>
      <selection pane="bottomRight" activeCell="A16" sqref="A16:XFD19"/>
      <pageMargins left="0.7" right="0.7" top="0.75" bottom="0.75" header="0.3" footer="0.3"/>
      <printOptions gridLines="1"/>
      <pageSetup paperSize="8" scale="39" fitToHeight="2" orientation="landscape" r:id="rId6"/>
    </customSheetView>
    <customSheetView guid="{F3E5B7E7-D3C6-4CDC-BAA7-D62F15A870E4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7"/>
    </customSheetView>
    <customSheetView guid="{D65E0E17-9A53-4B36-ADDE-FDFBD878E6A1}" fitToPage="1" hiddenRows="1">
      <pane xSplit="2" ySplit="5" topLeftCell="M27" activePane="bottomRight" state="frozen"/>
      <selection pane="bottomRight" activeCell="AR45" sqref="AR45"/>
      <pageMargins left="0.7" right="0.7" top="0.75" bottom="0.75" header="0.3" footer="0.3"/>
      <printOptions gridLines="1"/>
      <pageSetup paperSize="8" scale="39" fitToHeight="2" orientation="landscape" r:id="rId8"/>
    </customSheetView>
    <customSheetView guid="{BFB0E08A-7D07-48F2-93C4-BE631A8642F6}" fitToPage="1" hiddenRows="1">
      <pane xSplit="2" ySplit="5" topLeftCell="C6" activePane="bottomRight" state="frozen"/>
      <selection pane="bottomRight" activeCell="B7" sqref="B7"/>
      <pageMargins left="0.7" right="0.7" top="0.75" bottom="0.75" header="0.3" footer="0.3"/>
      <printOptions gridLines="1"/>
      <pageSetup paperSize="8" scale="39" fitToHeight="2" orientation="landscape" r:id="rId9"/>
    </customSheetView>
    <customSheetView guid="{E19D3675-E478-4A54-8E7A-94A199F67811}" fitToPage="1" hiddenRows="1">
      <pane xSplit="2" ySplit="5" topLeftCell="F117" activePane="bottomRight" state="frozen"/>
      <selection pane="bottomRight" activeCell="M127" sqref="M127"/>
      <pageMargins left="0.7" right="0.7" top="0.75" bottom="0.75" header="0.3" footer="0.3"/>
      <printOptions gridLines="1"/>
      <pageSetup paperSize="8" scale="39" fitToHeight="2" orientation="landscape" r:id="rId10"/>
    </customSheetView>
  </customSheetViews>
  <mergeCells count="20">
    <mergeCell ref="AH2:AI2"/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  <mergeCell ref="V182:X182"/>
    <mergeCell ref="V184:W184"/>
    <mergeCell ref="V173:AA173"/>
    <mergeCell ref="Z174:AA174"/>
    <mergeCell ref="V180:X180"/>
    <mergeCell ref="Z181:AA181"/>
  </mergeCells>
  <printOptions gridLines="1"/>
  <pageMargins left="0" right="0" top="1.83" bottom="0.75" header="0.3" footer="0.3"/>
  <pageSetup paperSize="8" scale="55" orientation="landscape" r:id="rId1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173"/>
  <sheetViews>
    <sheetView zoomScale="85" zoomScaleNormal="85" zoomScaleSheetLayoutView="91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B64" sqref="B64"/>
    </sheetView>
  </sheetViews>
  <sheetFormatPr defaultColWidth="9.140625" defaultRowHeight="15"/>
  <cols>
    <col min="1" max="1" width="6.42578125" style="100" bestFit="1" customWidth="1"/>
    <col min="2" max="2" width="37.140625" style="100" bestFit="1" customWidth="1"/>
    <col min="3" max="3" width="13.28515625" style="24" bestFit="1" customWidth="1"/>
    <col min="4" max="4" width="8.140625" style="104" bestFit="1" customWidth="1"/>
    <col min="5" max="5" width="13.28515625" style="123" bestFit="1" customWidth="1"/>
    <col min="6" max="6" width="7.85546875" style="104" customWidth="1"/>
    <col min="7" max="7" width="14.28515625" style="123" bestFit="1" customWidth="1"/>
    <col min="8" max="8" width="8.42578125" style="104" bestFit="1" customWidth="1"/>
    <col min="9" max="9" width="15.42578125" style="24" customWidth="1"/>
    <col min="10" max="10" width="8.7109375" style="104" customWidth="1"/>
    <col min="11" max="11" width="13.7109375" style="123" customWidth="1"/>
    <col min="12" max="12" width="8.85546875" style="104" bestFit="1" customWidth="1"/>
    <col min="13" max="13" width="14.28515625" style="24" customWidth="1"/>
    <col min="14" max="14" width="7.5703125" style="104" customWidth="1"/>
    <col min="15" max="15" width="13.5703125" style="24" customWidth="1"/>
    <col min="16" max="16" width="7.5703125" style="104" customWidth="1"/>
    <col min="17" max="17" width="14" style="24" customWidth="1"/>
    <col min="18" max="18" width="7.5703125" style="104" customWidth="1"/>
    <col min="19" max="19" width="13.5703125" style="24" customWidth="1"/>
    <col min="20" max="20" width="7.5703125" style="104" customWidth="1"/>
    <col min="21" max="21" width="13.5703125" style="123" customWidth="1"/>
    <col min="22" max="22" width="7.5703125" style="104" customWidth="1"/>
    <col min="23" max="23" width="12.140625" style="100" customWidth="1"/>
    <col min="24" max="24" width="7.5703125" style="104" customWidth="1"/>
    <col min="25" max="25" width="13.5703125" style="123" customWidth="1"/>
    <col min="26" max="26" width="7.5703125" style="104" customWidth="1"/>
    <col min="27" max="27" width="15.28515625" style="100" bestFit="1" customWidth="1"/>
    <col min="28" max="28" width="9.7109375" style="155" customWidth="1"/>
    <col min="29" max="29" width="12.85546875" style="100" customWidth="1"/>
    <col min="30" max="30" width="7.5703125" style="155" customWidth="1"/>
    <col min="31" max="31" width="22.5703125" style="100" hidden="1" customWidth="1"/>
    <col min="32" max="32" width="14" style="123" hidden="1" customWidth="1"/>
    <col min="33" max="33" width="57.42578125" style="100" hidden="1" customWidth="1"/>
    <col min="34" max="34" width="14.42578125" style="100" hidden="1" customWidth="1"/>
    <col min="35" max="35" width="9.140625" style="100" hidden="1" customWidth="1"/>
    <col min="36" max="36" width="13.28515625" style="308" customWidth="1"/>
    <col min="37" max="37" width="10.28515625" style="100" customWidth="1"/>
    <col min="38" max="39" width="14.28515625" style="100" customWidth="1"/>
    <col min="40" max="40" width="10.28515625" style="5" customWidth="1"/>
    <col min="41" max="42" width="10.5703125" style="305" customWidth="1"/>
    <col min="43" max="43" width="13.28515625" style="305" bestFit="1" customWidth="1"/>
    <col min="44" max="44" width="11.140625" style="305" bestFit="1" customWidth="1"/>
    <col min="45" max="16384" width="9.140625" style="305"/>
  </cols>
  <sheetData>
    <row r="1" spans="1:43">
      <c r="A1" s="662" t="s">
        <v>289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3"/>
      <c r="AE1" s="305"/>
      <c r="AF1" s="306"/>
      <c r="AG1" s="305"/>
      <c r="AH1" s="75"/>
      <c r="AI1" s="75"/>
      <c r="AJ1" s="307"/>
      <c r="AK1" s="305"/>
      <c r="AL1" s="5"/>
      <c r="AM1" s="5"/>
      <c r="AN1" s="5" t="s">
        <v>227</v>
      </c>
      <c r="AO1" s="25">
        <v>24231</v>
      </c>
      <c r="AP1" s="25"/>
    </row>
    <row r="2" spans="1:43">
      <c r="A2" s="26"/>
      <c r="B2" s="26"/>
      <c r="C2" s="128" t="s">
        <v>65</v>
      </c>
      <c r="D2" s="74"/>
      <c r="E2" s="645" t="s">
        <v>66</v>
      </c>
      <c r="F2" s="646"/>
      <c r="G2" s="409" t="s">
        <v>81</v>
      </c>
      <c r="H2" s="74"/>
      <c r="I2" s="645" t="s">
        <v>82</v>
      </c>
      <c r="J2" s="646"/>
      <c r="K2" s="645" t="s">
        <v>83</v>
      </c>
      <c r="L2" s="647"/>
      <c r="M2" s="645" t="s">
        <v>84</v>
      </c>
      <c r="N2" s="646"/>
      <c r="O2" s="645" t="s">
        <v>85</v>
      </c>
      <c r="P2" s="647"/>
      <c r="Q2" s="645" t="s">
        <v>86</v>
      </c>
      <c r="R2" s="646"/>
      <c r="S2" s="640" t="s">
        <v>87</v>
      </c>
      <c r="T2" s="640"/>
      <c r="U2" s="645" t="s">
        <v>108</v>
      </c>
      <c r="V2" s="647"/>
      <c r="W2" s="645" t="s">
        <v>109</v>
      </c>
      <c r="X2" s="646"/>
      <c r="Y2" s="640" t="s">
        <v>110</v>
      </c>
      <c r="Z2" s="640"/>
      <c r="AA2" s="641" t="s">
        <v>173</v>
      </c>
      <c r="AB2" s="641"/>
      <c r="AC2" s="642" t="s">
        <v>207</v>
      </c>
      <c r="AD2" s="642"/>
      <c r="AE2" s="89"/>
      <c r="AF2" s="143"/>
      <c r="AG2" s="89"/>
      <c r="AH2" s="642" t="s">
        <v>186</v>
      </c>
      <c r="AI2" s="642"/>
      <c r="AJ2" s="307" t="s">
        <v>173</v>
      </c>
      <c r="AK2" s="305"/>
      <c r="AL2" s="5"/>
      <c r="AM2" s="5"/>
    </row>
    <row r="3" spans="1:43" ht="15.75" thickBot="1">
      <c r="A3" s="47"/>
      <c r="B3" s="11" t="s">
        <v>70</v>
      </c>
      <c r="C3" s="129" t="s">
        <v>172</v>
      </c>
      <c r="D3" s="69" t="s">
        <v>80</v>
      </c>
      <c r="E3" s="52" t="s">
        <v>172</v>
      </c>
      <c r="F3" s="69" t="s">
        <v>80</v>
      </c>
      <c r="G3" s="77" t="s">
        <v>172</v>
      </c>
      <c r="H3" s="69" t="s">
        <v>80</v>
      </c>
      <c r="I3" s="51" t="s">
        <v>172</v>
      </c>
      <c r="J3" s="69" t="s">
        <v>80</v>
      </c>
      <c r="K3" s="52" t="s">
        <v>172</v>
      </c>
      <c r="L3" s="69" t="s">
        <v>80</v>
      </c>
      <c r="M3" s="51" t="s">
        <v>172</v>
      </c>
      <c r="N3" s="69" t="s">
        <v>80</v>
      </c>
      <c r="O3" s="51" t="s">
        <v>172</v>
      </c>
      <c r="P3" s="69" t="s">
        <v>80</v>
      </c>
      <c r="Q3" s="51" t="s">
        <v>172</v>
      </c>
      <c r="R3" s="69" t="s">
        <v>80</v>
      </c>
      <c r="S3" s="51" t="s">
        <v>172</v>
      </c>
      <c r="T3" s="69" t="s">
        <v>80</v>
      </c>
      <c r="U3" s="52" t="s">
        <v>172</v>
      </c>
      <c r="V3" s="69" t="s">
        <v>80</v>
      </c>
      <c r="W3" s="48" t="s">
        <v>172</v>
      </c>
      <c r="X3" s="69" t="s">
        <v>80</v>
      </c>
      <c r="Y3" s="52" t="s">
        <v>172</v>
      </c>
      <c r="Z3" s="69" t="s">
        <v>80</v>
      </c>
      <c r="AA3" s="220" t="s">
        <v>172</v>
      </c>
      <c r="AB3" s="221" t="s">
        <v>80</v>
      </c>
      <c r="AC3" s="222" t="s">
        <v>172</v>
      </c>
      <c r="AD3" s="223" t="s">
        <v>80</v>
      </c>
      <c r="AE3" s="146" t="s">
        <v>138</v>
      </c>
      <c r="AF3" s="224" t="s">
        <v>133</v>
      </c>
      <c r="AG3" s="146" t="s">
        <v>132</v>
      </c>
      <c r="AH3" s="222" t="s">
        <v>172</v>
      </c>
      <c r="AI3" s="223" t="s">
        <v>80</v>
      </c>
      <c r="AJ3" s="307"/>
      <c r="AK3" s="305"/>
      <c r="AL3" s="5"/>
      <c r="AM3" s="5"/>
    </row>
    <row r="4" spans="1:43">
      <c r="A4" s="305"/>
      <c r="B4" s="305"/>
      <c r="C4" s="524" t="s">
        <v>188</v>
      </c>
      <c r="D4" s="70"/>
      <c r="E4" s="524" t="s">
        <v>188</v>
      </c>
      <c r="F4" s="70"/>
      <c r="G4" s="524" t="s">
        <v>188</v>
      </c>
      <c r="H4" s="70"/>
      <c r="I4" s="524" t="s">
        <v>188</v>
      </c>
      <c r="J4" s="70"/>
      <c r="K4" s="524" t="s">
        <v>188</v>
      </c>
      <c r="L4" s="70"/>
      <c r="M4" s="524" t="s">
        <v>188</v>
      </c>
      <c r="N4" s="70"/>
      <c r="O4" s="524" t="s">
        <v>188</v>
      </c>
      <c r="P4" s="70"/>
      <c r="Q4" s="524" t="s">
        <v>188</v>
      </c>
      <c r="R4" s="70"/>
      <c r="S4" s="524" t="s">
        <v>188</v>
      </c>
      <c r="T4" s="70"/>
      <c r="U4" s="524" t="s">
        <v>188</v>
      </c>
      <c r="V4" s="70"/>
      <c r="W4" s="524" t="s">
        <v>188</v>
      </c>
      <c r="X4" s="70"/>
      <c r="Y4" s="524" t="s">
        <v>188</v>
      </c>
      <c r="AA4" s="269"/>
      <c r="AB4" s="270"/>
      <c r="AC4" s="271"/>
      <c r="AD4" s="270"/>
      <c r="AE4" s="271"/>
      <c r="AF4" s="272"/>
      <c r="AG4" s="271"/>
      <c r="AH4" s="271"/>
      <c r="AI4" s="273"/>
      <c r="AJ4" s="307"/>
      <c r="AK4" s="305"/>
      <c r="AL4" s="5"/>
      <c r="AM4" s="5"/>
    </row>
    <row r="5" spans="1:43" s="5" customFormat="1">
      <c r="A5" s="533">
        <v>5004</v>
      </c>
      <c r="B5" s="534" t="s">
        <v>72</v>
      </c>
      <c r="C5" s="606">
        <f>117229.64+C9</f>
        <v>144192.45845550281</v>
      </c>
      <c r="D5" s="535"/>
      <c r="E5" s="607">
        <f>91204.83+E9</f>
        <v>104885.5553651427</v>
      </c>
      <c r="F5" s="521"/>
      <c r="G5" s="608">
        <f>151288.538103173+G9</f>
        <v>193649.3287720615</v>
      </c>
      <c r="H5" s="521"/>
      <c r="I5" s="609">
        <f>133586.911671803+I9</f>
        <v>164311.90135631774</v>
      </c>
      <c r="J5" s="521"/>
      <c r="K5" s="610">
        <f>122178.839339486+K9</f>
        <v>141727.45363380382</v>
      </c>
      <c r="L5" s="535"/>
      <c r="M5" s="611">
        <f>173247.902590363+M9</f>
        <v>218292.35726385738</v>
      </c>
      <c r="N5" s="535"/>
      <c r="O5" s="612">
        <f>109685.069887524+O9</f>
        <v>134912.63596165463</v>
      </c>
      <c r="P5" s="535"/>
      <c r="Q5" s="613">
        <f>136200.233273639+Q9</f>
        <v>168888.28925931235</v>
      </c>
      <c r="R5" s="535"/>
      <c r="S5" s="614">
        <f>137205.292356618+S9</f>
        <v>161902.24498080934</v>
      </c>
      <c r="T5" s="535"/>
      <c r="U5" s="615">
        <f>108832.133747109+U9</f>
        <v>144746.73788365483</v>
      </c>
      <c r="V5" s="535"/>
      <c r="W5" s="616">
        <f>110730.332598809+W9</f>
        <v>124017.97251066608</v>
      </c>
      <c r="X5" s="535"/>
      <c r="Y5" s="617">
        <f>167276.269834562+Y9</f>
        <v>210768.09999154799</v>
      </c>
      <c r="Z5" s="536"/>
      <c r="AA5" s="510">
        <f t="shared" ref="AA5:AA11" si="0">C5+E5+G5+I5+K5+M5+O5+Q5+S5+U5+W5+Y5</f>
        <v>1912295.0354343313</v>
      </c>
      <c r="AB5" s="537"/>
      <c r="AC5" s="526">
        <f>AA5/12</f>
        <v>159357.91961952762</v>
      </c>
      <c r="AD5" s="537"/>
      <c r="AE5" s="159"/>
      <c r="AF5" s="227"/>
      <c r="AG5" s="227"/>
      <c r="AH5" s="526">
        <f>2265*365</f>
        <v>826725</v>
      </c>
      <c r="AI5" s="538"/>
      <c r="AJ5" s="282">
        <f t="shared" ref="AJ5:AJ68" si="1">SUM(AA5+AC5+AH5)</f>
        <v>2898377.9550538589</v>
      </c>
      <c r="AK5" s="53">
        <f t="shared" ref="AK5:AK68" si="2">AA5-AL5</f>
        <v>0</v>
      </c>
      <c r="AL5" s="53">
        <f t="shared" ref="AL5:AL36" si="3">C5+E5+G5+I5+K5+M5+O5+Q5+S5+U5+W5+Y5</f>
        <v>1912295.0354343313</v>
      </c>
      <c r="AM5" s="53">
        <f>G5*9.4+J5*9.4+K5*9.4+M5*9.4+O5*9.4+Q5*9.4+S5*9.4+U5*9.4+W5*9.4+Y5*9.4</f>
        <v>14089708.13041926</v>
      </c>
      <c r="AN5" s="53"/>
      <c r="AQ5" s="53">
        <f>Q5*9.4</f>
        <v>1587549.9190375363</v>
      </c>
    </row>
    <row r="6" spans="1:43">
      <c r="A6" s="305">
        <v>5005</v>
      </c>
      <c r="B6" s="15" t="s">
        <v>68</v>
      </c>
      <c r="C6" s="130"/>
      <c r="D6" s="49">
        <f t="shared" ref="D6:D11" si="4">C6/C$5</f>
        <v>0</v>
      </c>
      <c r="E6" s="54"/>
      <c r="F6" s="49">
        <f t="shared" ref="F6:F11" si="5">E6/E$5</f>
        <v>0</v>
      </c>
      <c r="G6" s="23"/>
      <c r="H6" s="49">
        <f t="shared" ref="H6:H11" si="6">G6/G$5</f>
        <v>0</v>
      </c>
      <c r="I6" s="23"/>
      <c r="J6" s="49">
        <f t="shared" ref="J6:J11" si="7">I6/I$5</f>
        <v>0</v>
      </c>
      <c r="K6" s="43">
        <v>0</v>
      </c>
      <c r="L6" s="49">
        <f t="shared" ref="L6:L11" si="8">K6/K$5</f>
        <v>0</v>
      </c>
      <c r="M6" s="18">
        <v>0</v>
      </c>
      <c r="N6" s="49">
        <f t="shared" ref="N6:N11" si="9">M6/M$5</f>
        <v>0</v>
      </c>
      <c r="O6" s="23"/>
      <c r="P6" s="49">
        <f t="shared" ref="P6:P11" si="10">O6/O$5</f>
        <v>0</v>
      </c>
      <c r="Q6" s="23">
        <v>0</v>
      </c>
      <c r="R6" s="49">
        <f t="shared" ref="R6:R11" si="11">Q6/Q$5</f>
        <v>0</v>
      </c>
      <c r="S6" s="18">
        <v>0</v>
      </c>
      <c r="T6" s="49">
        <f t="shared" ref="T6:T11" si="12">S6/S$5</f>
        <v>0</v>
      </c>
      <c r="U6" s="54">
        <v>0</v>
      </c>
      <c r="V6" s="49">
        <f t="shared" ref="V6:V11" si="13">U6/U$5</f>
        <v>0</v>
      </c>
      <c r="W6" s="32"/>
      <c r="X6" s="49">
        <f t="shared" ref="X6:X11" si="14">W6/W$5</f>
        <v>0</v>
      </c>
      <c r="Y6" s="43"/>
      <c r="Z6" s="168">
        <f t="shared" ref="Z6:Z11" si="15">Y6/Y$5</f>
        <v>0</v>
      </c>
      <c r="AA6" s="275">
        <f t="shared" si="0"/>
        <v>0</v>
      </c>
      <c r="AB6" s="202">
        <f t="shared" ref="AB6:AB11" si="16">AA6/AA$5</f>
        <v>0</v>
      </c>
      <c r="AC6" s="194">
        <f t="shared" ref="AC6:AC69" si="17">AA6/12</f>
        <v>0</v>
      </c>
      <c r="AD6" s="202">
        <f t="shared" ref="AD6:AD11" si="18">AC6/AC$5</f>
        <v>0</v>
      </c>
      <c r="AE6" s="75"/>
      <c r="AF6" s="158"/>
      <c r="AG6" s="75"/>
      <c r="AH6" s="194">
        <v>0</v>
      </c>
      <c r="AI6" s="243">
        <f t="shared" ref="AI6:AI11" si="19">AH6/AH$5</f>
        <v>0</v>
      </c>
      <c r="AJ6" s="282">
        <f t="shared" si="1"/>
        <v>0</v>
      </c>
      <c r="AK6" s="53">
        <f t="shared" si="2"/>
        <v>0</v>
      </c>
      <c r="AL6" s="53">
        <f t="shared" si="3"/>
        <v>0</v>
      </c>
      <c r="AM6" s="53">
        <f>G6*9.4+I6*9.4+K6*9.4+M6*9.4+O6*9.4+Q6*9.4+S6*9.4+U6*9.4+W6*9.4+Y6*9.4</f>
        <v>0</v>
      </c>
      <c r="AN6" s="53"/>
      <c r="AQ6" s="53">
        <f t="shared" ref="AQ6:AQ69" si="20">Q6*9.4</f>
        <v>0</v>
      </c>
    </row>
    <row r="7" spans="1:43">
      <c r="A7" s="13">
        <v>5051</v>
      </c>
      <c r="B7" s="115" t="s">
        <v>106</v>
      </c>
      <c r="C7" s="131"/>
      <c r="D7" s="49">
        <f t="shared" si="4"/>
        <v>0</v>
      </c>
      <c r="E7" s="131"/>
      <c r="F7" s="49">
        <f t="shared" si="5"/>
        <v>0</v>
      </c>
      <c r="G7" s="81"/>
      <c r="H7" s="49">
        <f t="shared" si="6"/>
        <v>0</v>
      </c>
      <c r="I7" s="19">
        <v>0</v>
      </c>
      <c r="J7" s="49">
        <f t="shared" si="7"/>
        <v>0</v>
      </c>
      <c r="K7" s="54">
        <v>0</v>
      </c>
      <c r="L7" s="49">
        <f t="shared" si="8"/>
        <v>0</v>
      </c>
      <c r="M7" s="19"/>
      <c r="N7" s="49">
        <f t="shared" si="9"/>
        <v>0</v>
      </c>
      <c r="O7" s="23">
        <v>0</v>
      </c>
      <c r="P7" s="49">
        <f t="shared" si="10"/>
        <v>0</v>
      </c>
      <c r="Q7" s="541"/>
      <c r="R7" s="49">
        <f t="shared" si="11"/>
        <v>0</v>
      </c>
      <c r="S7" s="23"/>
      <c r="T7" s="49">
        <f t="shared" si="12"/>
        <v>0</v>
      </c>
      <c r="U7" s="54">
        <v>0</v>
      </c>
      <c r="V7" s="49">
        <f t="shared" si="13"/>
        <v>0</v>
      </c>
      <c r="W7" s="32"/>
      <c r="X7" s="49">
        <f t="shared" si="14"/>
        <v>0</v>
      </c>
      <c r="Y7" s="54"/>
      <c r="Z7" s="168">
        <f t="shared" si="15"/>
        <v>0</v>
      </c>
      <c r="AA7" s="275">
        <f t="shared" si="0"/>
        <v>0</v>
      </c>
      <c r="AB7" s="203">
        <f t="shared" si="16"/>
        <v>0</v>
      </c>
      <c r="AC7" s="196">
        <f t="shared" si="17"/>
        <v>0</v>
      </c>
      <c r="AD7" s="203">
        <f t="shared" si="18"/>
        <v>0</v>
      </c>
      <c r="AE7" s="75"/>
      <c r="AF7" s="158"/>
      <c r="AG7" s="75"/>
      <c r="AH7" s="196">
        <v>0</v>
      </c>
      <c r="AI7" s="244">
        <f t="shared" si="19"/>
        <v>0</v>
      </c>
      <c r="AJ7" s="282">
        <f t="shared" si="1"/>
        <v>0</v>
      </c>
      <c r="AK7" s="53">
        <f t="shared" si="2"/>
        <v>0</v>
      </c>
      <c r="AL7" s="53">
        <f t="shared" si="3"/>
        <v>0</v>
      </c>
      <c r="AM7" s="53">
        <f>G7*9.4+I7*9.4+K7*9.4+M7*9.4+O7*9.4+Q7*9.4+S7*9.4+U7*9.4+W7*9.4+Y7*9.4</f>
        <v>0</v>
      </c>
      <c r="AN7" s="53"/>
      <c r="AQ7" s="53">
        <f t="shared" si="20"/>
        <v>0</v>
      </c>
    </row>
    <row r="8" spans="1:43">
      <c r="A8" s="305">
        <v>5052</v>
      </c>
      <c r="B8" s="305" t="s">
        <v>90</v>
      </c>
      <c r="C8" s="524"/>
      <c r="D8" s="49">
        <f t="shared" si="4"/>
        <v>0</v>
      </c>
      <c r="E8" s="524"/>
      <c r="F8" s="49">
        <f t="shared" si="5"/>
        <v>0</v>
      </c>
      <c r="G8" s="541"/>
      <c r="H8" s="49">
        <f t="shared" si="6"/>
        <v>0</v>
      </c>
      <c r="I8" s="541"/>
      <c r="J8" s="49">
        <f t="shared" si="7"/>
        <v>0</v>
      </c>
      <c r="K8" s="541"/>
      <c r="L8" s="49">
        <f t="shared" si="8"/>
        <v>0</v>
      </c>
      <c r="M8" s="541"/>
      <c r="N8" s="49">
        <f t="shared" si="9"/>
        <v>0</v>
      </c>
      <c r="O8" s="541"/>
      <c r="P8" s="49">
        <f t="shared" si="10"/>
        <v>0</v>
      </c>
      <c r="Q8" s="541"/>
      <c r="R8" s="49">
        <f t="shared" si="11"/>
        <v>0</v>
      </c>
      <c r="S8" s="541"/>
      <c r="T8" s="49">
        <f t="shared" si="12"/>
        <v>0</v>
      </c>
      <c r="U8" s="23"/>
      <c r="V8" s="49">
        <f t="shared" si="13"/>
        <v>0</v>
      </c>
      <c r="W8" s="23"/>
      <c r="X8" s="49">
        <f t="shared" si="14"/>
        <v>0</v>
      </c>
      <c r="Y8" s="23"/>
      <c r="Z8" s="168">
        <f t="shared" si="15"/>
        <v>0</v>
      </c>
      <c r="AA8" s="275">
        <f t="shared" si="0"/>
        <v>0</v>
      </c>
      <c r="AB8" s="203">
        <f t="shared" si="16"/>
        <v>0</v>
      </c>
      <c r="AC8" s="204">
        <f>AA8/12</f>
        <v>0</v>
      </c>
      <c r="AD8" s="203">
        <f t="shared" si="18"/>
        <v>0</v>
      </c>
      <c r="AE8" s="75"/>
      <c r="AF8" s="158"/>
      <c r="AG8" s="75"/>
      <c r="AH8" s="204">
        <v>0</v>
      </c>
      <c r="AI8" s="244">
        <f t="shared" si="19"/>
        <v>0</v>
      </c>
      <c r="AJ8" s="282">
        <f t="shared" si="1"/>
        <v>0</v>
      </c>
      <c r="AK8" s="53">
        <f t="shared" si="2"/>
        <v>0</v>
      </c>
      <c r="AL8" s="53">
        <f t="shared" si="3"/>
        <v>0</v>
      </c>
      <c r="AM8" s="53">
        <f>G8*9.4+I8*9.4+K8*9.4+M8*9.4+O8*9.4+Q8*9.4+S8*9.4+U8*9.4+W8*9.4+Y8*9.4</f>
        <v>0</v>
      </c>
      <c r="AN8" s="53">
        <v>258.7</v>
      </c>
      <c r="AQ8" s="53">
        <f t="shared" si="20"/>
        <v>0</v>
      </c>
    </row>
    <row r="9" spans="1:43">
      <c r="A9" s="305">
        <v>5101</v>
      </c>
      <c r="B9" s="15" t="s">
        <v>47</v>
      </c>
      <c r="C9" s="539">
        <v>26962.818455502809</v>
      </c>
      <c r="D9" s="521">
        <v>0.23</v>
      </c>
      <c r="E9" s="305">
        <v>13680.725365142707</v>
      </c>
      <c r="F9" s="521">
        <v>0.15</v>
      </c>
      <c r="G9" s="309">
        <v>42360.790668888505</v>
      </c>
      <c r="H9" s="521">
        <v>0.28000000000000003</v>
      </c>
      <c r="I9" s="309">
        <v>30724.989684514716</v>
      </c>
      <c r="J9" s="521">
        <v>0.23</v>
      </c>
      <c r="K9" s="309">
        <v>19548.61429431782</v>
      </c>
      <c r="L9" s="521">
        <v>0.16</v>
      </c>
      <c r="M9" s="309">
        <v>45044.454673494394</v>
      </c>
      <c r="N9" s="521">
        <v>0.26</v>
      </c>
      <c r="O9" s="309">
        <v>25227.56607413062</v>
      </c>
      <c r="P9" s="521">
        <v>0.23</v>
      </c>
      <c r="Q9" s="309">
        <v>32688.055985673363</v>
      </c>
      <c r="R9" s="521">
        <v>0.24</v>
      </c>
      <c r="S9" s="539">
        <v>24696.952624191326</v>
      </c>
      <c r="T9" s="521">
        <v>0.18</v>
      </c>
      <c r="U9" s="305">
        <v>35914.604136545844</v>
      </c>
      <c r="V9" s="521">
        <v>0.33</v>
      </c>
      <c r="W9" s="305">
        <v>13287.639911857083</v>
      </c>
      <c r="X9" s="521">
        <v>0.12</v>
      </c>
      <c r="Y9" s="305">
        <v>43491.830156985998</v>
      </c>
      <c r="Z9" s="168">
        <f t="shared" si="15"/>
        <v>0.20634920634920589</v>
      </c>
      <c r="AA9" s="275">
        <f t="shared" si="0"/>
        <v>353629.04203124519</v>
      </c>
      <c r="AB9" s="203">
        <f t="shared" si="16"/>
        <v>0.18492389274593654</v>
      </c>
      <c r="AC9" s="194">
        <f t="shared" si="17"/>
        <v>29469.086835937098</v>
      </c>
      <c r="AD9" s="203">
        <f t="shared" si="18"/>
        <v>0.18492389274593651</v>
      </c>
      <c r="AE9" s="75"/>
      <c r="AF9" s="158"/>
      <c r="AG9" s="75"/>
      <c r="AH9" s="194">
        <f>AH5*0.9%</f>
        <v>7440.5250000000005</v>
      </c>
      <c r="AI9" s="244">
        <f t="shared" si="19"/>
        <v>9.0000000000000011E-3</v>
      </c>
      <c r="AJ9" s="282">
        <f t="shared" si="1"/>
        <v>390538.65386718232</v>
      </c>
      <c r="AK9" s="53">
        <f t="shared" si="2"/>
        <v>0</v>
      </c>
      <c r="AL9" s="53">
        <f t="shared" si="3"/>
        <v>353629.04203124519</v>
      </c>
      <c r="AM9" s="53">
        <f>G9*9.4+I9*9.4+K9*9.4+M9*9.4+O9*9.4+Q9*9.4+S9*9.4+U9*9.4+W9*9.4+Y9*9.4</f>
        <v>2942063.683179637</v>
      </c>
      <c r="AN9" s="53"/>
      <c r="AQ9" s="53">
        <f t="shared" si="20"/>
        <v>307267.72626532963</v>
      </c>
    </row>
    <row r="10" spans="1:43">
      <c r="A10" s="305">
        <v>5102</v>
      </c>
      <c r="B10" s="305" t="s">
        <v>177</v>
      </c>
      <c r="C10" s="130"/>
      <c r="D10" s="49">
        <f t="shared" si="4"/>
        <v>0</v>
      </c>
      <c r="E10" s="524"/>
      <c r="F10" s="49">
        <f t="shared" si="5"/>
        <v>0</v>
      </c>
      <c r="G10" s="130"/>
      <c r="H10" s="49">
        <f t="shared" si="6"/>
        <v>0</v>
      </c>
      <c r="I10" s="130"/>
      <c r="J10" s="49">
        <f t="shared" si="7"/>
        <v>0</v>
      </c>
      <c r="K10" s="43"/>
      <c r="L10" s="49">
        <f t="shared" si="8"/>
        <v>0</v>
      </c>
      <c r="M10" s="18"/>
      <c r="N10" s="49">
        <f t="shared" si="9"/>
        <v>0</v>
      </c>
      <c r="O10" s="18"/>
      <c r="P10" s="49">
        <f t="shared" si="10"/>
        <v>0</v>
      </c>
      <c r="Q10" s="18"/>
      <c r="R10" s="49">
        <f t="shared" si="11"/>
        <v>0</v>
      </c>
      <c r="S10" s="18"/>
      <c r="T10" s="49">
        <f t="shared" si="12"/>
        <v>0</v>
      </c>
      <c r="U10" s="43"/>
      <c r="V10" s="49">
        <f t="shared" si="13"/>
        <v>0</v>
      </c>
      <c r="W10" s="33"/>
      <c r="X10" s="49">
        <f t="shared" si="14"/>
        <v>0</v>
      </c>
      <c r="Y10" s="18"/>
      <c r="Z10" s="168">
        <f t="shared" si="15"/>
        <v>0</v>
      </c>
      <c r="AA10" s="275">
        <f t="shared" si="0"/>
        <v>0</v>
      </c>
      <c r="AB10" s="203">
        <f t="shared" si="16"/>
        <v>0</v>
      </c>
      <c r="AC10" s="204">
        <f t="shared" si="17"/>
        <v>0</v>
      </c>
      <c r="AD10" s="203">
        <f t="shared" si="18"/>
        <v>0</v>
      </c>
      <c r="AE10" s="75"/>
      <c r="AF10" s="158"/>
      <c r="AG10" s="75"/>
      <c r="AH10" s="204">
        <f>AH5*1.7%</f>
        <v>14054.325000000001</v>
      </c>
      <c r="AI10" s="244">
        <f t="shared" si="19"/>
        <v>1.7000000000000001E-2</v>
      </c>
      <c r="AJ10" s="282">
        <f t="shared" si="1"/>
        <v>14054.325000000001</v>
      </c>
      <c r="AK10" s="53">
        <f t="shared" si="2"/>
        <v>0</v>
      </c>
      <c r="AL10" s="53">
        <f t="shared" si="3"/>
        <v>0</v>
      </c>
      <c r="AM10" s="53"/>
      <c r="AN10" s="53"/>
      <c r="AQ10" s="53">
        <f t="shared" si="20"/>
        <v>0</v>
      </c>
    </row>
    <row r="11" spans="1:43">
      <c r="A11" s="305">
        <v>5103</v>
      </c>
      <c r="B11" s="15" t="s">
        <v>64</v>
      </c>
      <c r="C11" s="130"/>
      <c r="D11" s="49">
        <f t="shared" si="4"/>
        <v>0</v>
      </c>
      <c r="E11" s="43"/>
      <c r="F11" s="49">
        <f t="shared" si="5"/>
        <v>0</v>
      </c>
      <c r="G11" s="80"/>
      <c r="H11" s="49">
        <f t="shared" si="6"/>
        <v>0</v>
      </c>
      <c r="I11" s="18"/>
      <c r="J11" s="49">
        <f t="shared" si="7"/>
        <v>0</v>
      </c>
      <c r="K11" s="43"/>
      <c r="L11" s="49">
        <f t="shared" si="8"/>
        <v>0</v>
      </c>
      <c r="M11" s="18"/>
      <c r="N11" s="49">
        <f t="shared" si="9"/>
        <v>0</v>
      </c>
      <c r="O11" s="18"/>
      <c r="P11" s="49">
        <f t="shared" si="10"/>
        <v>0</v>
      </c>
      <c r="Q11" s="18"/>
      <c r="R11" s="49">
        <f t="shared" si="11"/>
        <v>0</v>
      </c>
      <c r="S11" s="18"/>
      <c r="T11" s="49">
        <f t="shared" si="12"/>
        <v>0</v>
      </c>
      <c r="U11" s="43"/>
      <c r="V11" s="49">
        <f t="shared" si="13"/>
        <v>0</v>
      </c>
      <c r="W11" s="33"/>
      <c r="X11" s="49">
        <f t="shared" si="14"/>
        <v>0</v>
      </c>
      <c r="Y11" s="43"/>
      <c r="Z11" s="168">
        <f t="shared" si="15"/>
        <v>0</v>
      </c>
      <c r="AA11" s="275">
        <f t="shared" si="0"/>
        <v>0</v>
      </c>
      <c r="AB11" s="203">
        <f t="shared" si="16"/>
        <v>0</v>
      </c>
      <c r="AC11" s="204">
        <f t="shared" si="17"/>
        <v>0</v>
      </c>
      <c r="AD11" s="203">
        <f t="shared" si="18"/>
        <v>0</v>
      </c>
      <c r="AE11" s="75"/>
      <c r="AF11" s="158"/>
      <c r="AG11" s="75"/>
      <c r="AH11" s="204">
        <v>0</v>
      </c>
      <c r="AI11" s="244">
        <f t="shared" si="19"/>
        <v>0</v>
      </c>
      <c r="AJ11" s="282">
        <f t="shared" si="1"/>
        <v>0</v>
      </c>
      <c r="AK11" s="53">
        <f t="shared" si="2"/>
        <v>0</v>
      </c>
      <c r="AL11" s="53">
        <f t="shared" si="3"/>
        <v>0</v>
      </c>
      <c r="AM11" s="53">
        <f t="shared" ref="AM11:AM42" si="21">G11*9.4+I11*9.4+K11*9.4+M11*9.4+O11*9.4+Q11*9.4+S11*9.4+U11*9.4+W11*9.4+Y11*9.4</f>
        <v>0</v>
      </c>
      <c r="AN11" s="53"/>
      <c r="AQ11" s="53">
        <f t="shared" si="20"/>
        <v>0</v>
      </c>
    </row>
    <row r="12" spans="1:43" ht="15.75" thickBot="1">
      <c r="A12" s="6">
        <v>5149</v>
      </c>
      <c r="B12" s="116" t="s">
        <v>67</v>
      </c>
      <c r="C12" s="55">
        <f>C5+C6-C7-C8-C9-C10+C11</f>
        <v>117229.64</v>
      </c>
      <c r="D12" s="88">
        <v>1</v>
      </c>
      <c r="E12" s="55">
        <f>E5+E6-E7-E8-E9-E10+E11</f>
        <v>91204.83</v>
      </c>
      <c r="F12" s="88">
        <v>1</v>
      </c>
      <c r="G12" s="55">
        <f>G5+G6-G7-G8-G9-G10+G11</f>
        <v>151288.53810317299</v>
      </c>
      <c r="H12" s="88">
        <v>1</v>
      </c>
      <c r="I12" s="55">
        <f>I5+I6-I7-I8-I9-I10+I11</f>
        <v>133586.91167180304</v>
      </c>
      <c r="J12" s="88">
        <v>1</v>
      </c>
      <c r="K12" s="55">
        <f>K5+K6-K7-K8-K9-K10+K11</f>
        <v>122178.839339486</v>
      </c>
      <c r="L12" s="88">
        <v>1</v>
      </c>
      <c r="M12" s="55">
        <f>M5+M6-M7-M8-M9-M10+M11</f>
        <v>173247.902590363</v>
      </c>
      <c r="N12" s="88">
        <v>1</v>
      </c>
      <c r="O12" s="55">
        <f>O5+O6-O7-O8-O9-O10+O11</f>
        <v>109685.06988752401</v>
      </c>
      <c r="P12" s="88">
        <v>1</v>
      </c>
      <c r="Q12" s="55">
        <f>Q5+Q6-Q7-Q8-Q9-Q10+Q11</f>
        <v>136200.23327363899</v>
      </c>
      <c r="R12" s="88">
        <v>1</v>
      </c>
      <c r="S12" s="55">
        <f>S5+S6-S7-S8-S9-S10+S11</f>
        <v>137205.29235661801</v>
      </c>
      <c r="T12" s="88">
        <v>1</v>
      </c>
      <c r="U12" s="55">
        <f>U5+U6-U7-U8-U9-U10+U11</f>
        <v>108832.13374710898</v>
      </c>
      <c r="V12" s="88">
        <v>1</v>
      </c>
      <c r="W12" s="55">
        <f>W5+W6-W7-W8-W9-W10+W11</f>
        <v>110730.33259880899</v>
      </c>
      <c r="X12" s="88">
        <v>1</v>
      </c>
      <c r="Y12" s="55">
        <f>Y5+Y6-Y7-Y8-Y9-Y10+Y11</f>
        <v>167276.269834562</v>
      </c>
      <c r="Z12" s="209">
        <v>1</v>
      </c>
      <c r="AA12" s="200">
        <f>AA5+AA6-AA7-AA8-AA9-AA10+AA11</f>
        <v>1558665.993403086</v>
      </c>
      <c r="AB12" s="228">
        <v>1</v>
      </c>
      <c r="AC12" s="199">
        <f t="shared" si="17"/>
        <v>129888.83278359049</v>
      </c>
      <c r="AD12" s="228">
        <v>1</v>
      </c>
      <c r="AE12" s="158" t="s">
        <v>136</v>
      </c>
      <c r="AF12" s="158"/>
      <c r="AG12" s="75" t="s">
        <v>170</v>
      </c>
      <c r="AH12" s="199">
        <f>AH5+AH6-AH7-AH8-AH9-AH10+AH11</f>
        <v>805230.15</v>
      </c>
      <c r="AI12" s="245">
        <v>1</v>
      </c>
      <c r="AJ12" s="286">
        <f t="shared" si="1"/>
        <v>2493784.9761866764</v>
      </c>
      <c r="AK12" s="53">
        <f t="shared" si="2"/>
        <v>0</v>
      </c>
      <c r="AL12" s="53">
        <f t="shared" si="3"/>
        <v>1558665.993403086</v>
      </c>
      <c r="AM12" s="53">
        <f t="shared" si="21"/>
        <v>12692176.319989011</v>
      </c>
      <c r="AN12" s="53"/>
      <c r="AQ12" s="53">
        <f t="shared" si="20"/>
        <v>1280282.1927722066</v>
      </c>
    </row>
    <row r="13" spans="1:43" ht="15.75" thickTop="1">
      <c r="A13" s="305">
        <v>5151</v>
      </c>
      <c r="B13" s="15" t="s">
        <v>48</v>
      </c>
      <c r="C13" s="130"/>
      <c r="D13" s="70"/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75">
        <f>C13+E13+G13+I13+K13+M13+O13+Q13+S13+U13+W13+Y13</f>
        <v>0</v>
      </c>
      <c r="AB13" s="202"/>
      <c r="AC13" s="194">
        <f t="shared" si="17"/>
        <v>0</v>
      </c>
      <c r="AD13" s="202"/>
      <c r="AE13" s="75"/>
      <c r="AF13" s="158"/>
      <c r="AG13" s="75"/>
      <c r="AH13" s="194">
        <v>0</v>
      </c>
      <c r="AI13" s="243"/>
      <c r="AJ13" s="282">
        <f t="shared" si="1"/>
        <v>0</v>
      </c>
      <c r="AK13" s="53">
        <f t="shared" si="2"/>
        <v>0</v>
      </c>
      <c r="AL13" s="53">
        <f t="shared" si="3"/>
        <v>0</v>
      </c>
      <c r="AM13" s="53">
        <f t="shared" si="21"/>
        <v>0</v>
      </c>
      <c r="AN13" s="53"/>
      <c r="AQ13" s="53">
        <f t="shared" si="20"/>
        <v>0</v>
      </c>
    </row>
    <row r="14" spans="1:43">
      <c r="A14" s="305">
        <v>5152</v>
      </c>
      <c r="B14" s="15" t="s">
        <v>49</v>
      </c>
      <c r="C14" s="130"/>
      <c r="D14" s="70"/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75">
        <f>C14+E14+G14+I14+K14+M14+O14+Q14+S14+U14+W14+Y14</f>
        <v>0</v>
      </c>
      <c r="AB14" s="202"/>
      <c r="AC14" s="194">
        <f t="shared" si="17"/>
        <v>0</v>
      </c>
      <c r="AD14" s="202"/>
      <c r="AE14" s="75"/>
      <c r="AF14" s="158"/>
      <c r="AG14" s="75"/>
      <c r="AH14" s="194">
        <v>0</v>
      </c>
      <c r="AI14" s="243"/>
      <c r="AJ14" s="282">
        <f t="shared" si="1"/>
        <v>0</v>
      </c>
      <c r="AK14" s="53">
        <f t="shared" si="2"/>
        <v>0</v>
      </c>
      <c r="AL14" s="53">
        <f t="shared" si="3"/>
        <v>0</v>
      </c>
      <c r="AM14" s="53">
        <f t="shared" si="21"/>
        <v>0</v>
      </c>
      <c r="AN14" s="53"/>
      <c r="AQ14" s="53">
        <f t="shared" si="20"/>
        <v>0</v>
      </c>
    </row>
    <row r="15" spans="1:43" ht="15.75" thickBot="1">
      <c r="A15" s="35">
        <v>5198</v>
      </c>
      <c r="B15" s="117" t="s">
        <v>93</v>
      </c>
      <c r="C15" s="132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26">
        <f>I13+I14</f>
        <v>0</v>
      </c>
      <c r="J15" s="71"/>
      <c r="K15" s="56">
        <f>K13+K14</f>
        <v>0</v>
      </c>
      <c r="L15" s="71"/>
      <c r="M15" s="126">
        <f>M13+M14</f>
        <v>0</v>
      </c>
      <c r="N15" s="71"/>
      <c r="O15" s="126">
        <f>O13+O14</f>
        <v>0</v>
      </c>
      <c r="P15" s="71"/>
      <c r="Q15" s="126">
        <f>Q13+Q14</f>
        <v>0</v>
      </c>
      <c r="R15" s="71"/>
      <c r="S15" s="126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10"/>
      <c r="AA15" s="276">
        <f>AA13+AA14</f>
        <v>0</v>
      </c>
      <c r="AB15" s="230"/>
      <c r="AC15" s="231">
        <f t="shared" si="17"/>
        <v>0</v>
      </c>
      <c r="AD15" s="230"/>
      <c r="AE15" s="75"/>
      <c r="AF15" s="158"/>
      <c r="AG15" s="75"/>
      <c r="AH15" s="231">
        <v>0</v>
      </c>
      <c r="AI15" s="246"/>
      <c r="AJ15" s="282">
        <f t="shared" si="1"/>
        <v>0</v>
      </c>
      <c r="AK15" s="53">
        <f t="shared" si="2"/>
        <v>0</v>
      </c>
      <c r="AL15" s="53">
        <f t="shared" si="3"/>
        <v>0</v>
      </c>
      <c r="AM15" s="53">
        <f t="shared" si="21"/>
        <v>0</v>
      </c>
      <c r="AN15" s="53"/>
      <c r="AQ15" s="53">
        <f t="shared" si="20"/>
        <v>0</v>
      </c>
    </row>
    <row r="16" spans="1:43" ht="16.5" thickTop="1" thickBot="1">
      <c r="A16" s="37">
        <v>5199</v>
      </c>
      <c r="B16" s="118" t="s">
        <v>71</v>
      </c>
      <c r="C16" s="133">
        <f>C12+C15</f>
        <v>117229.64</v>
      </c>
      <c r="D16" s="39">
        <f>C16/C12</f>
        <v>1</v>
      </c>
      <c r="E16" s="57">
        <f>E12+E15</f>
        <v>91204.83</v>
      </c>
      <c r="F16" s="39">
        <f>E16/E12</f>
        <v>1</v>
      </c>
      <c r="G16" s="84">
        <f>G12+G15</f>
        <v>151288.53810317299</v>
      </c>
      <c r="H16" s="39">
        <f>G16/G12</f>
        <v>1</v>
      </c>
      <c r="I16" s="127">
        <f>I12+I15</f>
        <v>133586.91167180304</v>
      </c>
      <c r="J16" s="39">
        <f>I16/I12</f>
        <v>1</v>
      </c>
      <c r="K16" s="57">
        <f>K12+K15</f>
        <v>122178.839339486</v>
      </c>
      <c r="L16" s="39">
        <f>K16/K12</f>
        <v>1</v>
      </c>
      <c r="M16" s="127">
        <f>M12+M15</f>
        <v>173247.902590363</v>
      </c>
      <c r="N16" s="39">
        <f>M16/M12</f>
        <v>1</v>
      </c>
      <c r="O16" s="127">
        <f>O12+O15</f>
        <v>109685.06988752401</v>
      </c>
      <c r="P16" s="39">
        <f>O16/O12</f>
        <v>1</v>
      </c>
      <c r="Q16" s="127">
        <f>Q12+Q15</f>
        <v>136200.23327363899</v>
      </c>
      <c r="R16" s="39">
        <f>Q16/Q12</f>
        <v>1</v>
      </c>
      <c r="S16" s="127">
        <f>S12+S15</f>
        <v>137205.29235661801</v>
      </c>
      <c r="T16" s="39">
        <f>S16/S12</f>
        <v>1</v>
      </c>
      <c r="U16" s="57">
        <f>U12+U15</f>
        <v>108832.13374710898</v>
      </c>
      <c r="V16" s="39">
        <f>U16/U12</f>
        <v>1</v>
      </c>
      <c r="W16" s="38">
        <f>W12+W15</f>
        <v>110730.33259880899</v>
      </c>
      <c r="X16" s="39">
        <f>W16/W12</f>
        <v>1</v>
      </c>
      <c r="Y16" s="57">
        <f>Y12+Y15</f>
        <v>167276.269834562</v>
      </c>
      <c r="Z16" s="211">
        <f>Y16/Y12</f>
        <v>1</v>
      </c>
      <c r="AA16" s="277">
        <f>AA12+AA15</f>
        <v>1558665.993403086</v>
      </c>
      <c r="AB16" s="233">
        <f>AA16/AA12</f>
        <v>1</v>
      </c>
      <c r="AC16" s="232">
        <f t="shared" si="17"/>
        <v>129888.83278359049</v>
      </c>
      <c r="AD16" s="233">
        <f>AC16/AC12</f>
        <v>1</v>
      </c>
      <c r="AE16" s="75"/>
      <c r="AF16" s="158"/>
      <c r="AG16" s="75"/>
      <c r="AH16" s="232">
        <f>AH12+AH15</f>
        <v>805230.15</v>
      </c>
      <c r="AI16" s="247">
        <f>AH16/AH12</f>
        <v>1</v>
      </c>
      <c r="AJ16" s="287">
        <f t="shared" si="1"/>
        <v>2493784.9761866764</v>
      </c>
      <c r="AK16" s="53">
        <f t="shared" si="2"/>
        <v>0</v>
      </c>
      <c r="AL16" s="53">
        <f t="shared" si="3"/>
        <v>1558665.993403086</v>
      </c>
      <c r="AM16" s="53">
        <f t="shared" si="21"/>
        <v>12692176.319989011</v>
      </c>
      <c r="AN16" s="53"/>
      <c r="AQ16" s="53">
        <f t="shared" si="20"/>
        <v>1280282.1927722066</v>
      </c>
    </row>
    <row r="17" spans="1:43" ht="15.75" thickTop="1">
      <c r="A17" s="12">
        <v>5502</v>
      </c>
      <c r="B17" s="14" t="s">
        <v>50</v>
      </c>
      <c r="C17" s="524">
        <f>C12*51.26%</f>
        <v>60091.91346399999</v>
      </c>
      <c r="D17" s="49">
        <f>C17/C12</f>
        <v>0.51259999999999994</v>
      </c>
      <c r="E17" s="524">
        <f>E12*43.32%</f>
        <v>39509.932356000005</v>
      </c>
      <c r="F17" s="49">
        <f>E17/E12</f>
        <v>0.43320000000000003</v>
      </c>
      <c r="G17" s="524">
        <f>G12*49.49%</f>
        <v>74872.697507260309</v>
      </c>
      <c r="H17" s="49">
        <f>G17/G12</f>
        <v>0.49489999999999995</v>
      </c>
      <c r="I17" s="524">
        <f>I12*45.27%</f>
        <v>60474.794913825244</v>
      </c>
      <c r="J17" s="49">
        <f>I17/I12</f>
        <v>0.45270000000000005</v>
      </c>
      <c r="K17" s="524">
        <f>K12*44.6%</f>
        <v>54491.76234541076</v>
      </c>
      <c r="L17" s="49">
        <f>K17/K12</f>
        <v>0.44600000000000001</v>
      </c>
      <c r="M17" s="524">
        <f>M12*52.19%</f>
        <v>90418.080361910455</v>
      </c>
      <c r="N17" s="49">
        <f>M17/M12</f>
        <v>0.52190000000000003</v>
      </c>
      <c r="O17" s="524">
        <f>O12*45.12%</f>
        <v>49489.903533250828</v>
      </c>
      <c r="P17" s="49">
        <f>O17/O12</f>
        <v>0.45119999999999999</v>
      </c>
      <c r="Q17" s="524">
        <f>Q12*43.02%</f>
        <v>58593.340354319502</v>
      </c>
      <c r="R17" s="49">
        <f>Q17/Q12</f>
        <v>0.43020000000000003</v>
      </c>
      <c r="S17" s="524">
        <f>S12*40.04%</f>
        <v>54936.999059589849</v>
      </c>
      <c r="T17" s="49">
        <f>S17/S12</f>
        <v>0.40039999999999998</v>
      </c>
      <c r="U17" s="524">
        <f>U12*49.68%</f>
        <v>54067.804045563746</v>
      </c>
      <c r="V17" s="49">
        <f>U17/U12</f>
        <v>0.49680000000000002</v>
      </c>
      <c r="W17" s="524">
        <f>W12*46.42%</f>
        <v>51401.020392367136</v>
      </c>
      <c r="X17" s="49">
        <f>W17/W12</f>
        <v>0.4642</v>
      </c>
      <c r="Y17" s="524">
        <f>Y12*52.2%</f>
        <v>87318.212853641366</v>
      </c>
      <c r="Z17" s="49">
        <f>Y17/Y12</f>
        <v>0.52200000000000002</v>
      </c>
      <c r="AA17" s="275">
        <f>C17+E17+G17+I17+K17+M17+O17+Q17+S17+U17+W17+Y17</f>
        <v>735666.46118713927</v>
      </c>
      <c r="AB17" s="203">
        <f>AA17/AA12</f>
        <v>0.47198467426682922</v>
      </c>
      <c r="AC17" s="205">
        <f t="shared" si="17"/>
        <v>61305.538432261608</v>
      </c>
      <c r="AD17" s="203">
        <f>AC17/AC12</f>
        <v>0.47198467426682922</v>
      </c>
      <c r="AE17" s="75" t="s">
        <v>137</v>
      </c>
      <c r="AF17" s="160">
        <v>0.50339999999999996</v>
      </c>
      <c r="AG17" s="75" t="s">
        <v>170</v>
      </c>
      <c r="AH17" s="205">
        <f>AH12*50%</f>
        <v>402615.07500000001</v>
      </c>
      <c r="AI17" s="244">
        <f>AH17/AH12</f>
        <v>0.5</v>
      </c>
      <c r="AJ17" s="282">
        <f t="shared" si="1"/>
        <v>1199587.0746194008</v>
      </c>
      <c r="AK17" s="53">
        <f t="shared" si="2"/>
        <v>0</v>
      </c>
      <c r="AL17" s="53">
        <f t="shared" si="3"/>
        <v>735666.46118713927</v>
      </c>
      <c r="AM17" s="53">
        <f t="shared" si="21"/>
        <v>5979007.384451109</v>
      </c>
      <c r="AN17" s="53"/>
      <c r="AQ17" s="53">
        <f t="shared" si="20"/>
        <v>550777.39933060331</v>
      </c>
    </row>
    <row r="18" spans="1:43">
      <c r="A18" s="3">
        <v>5503</v>
      </c>
      <c r="B18" s="112" t="s">
        <v>51</v>
      </c>
      <c r="C18" s="130"/>
      <c r="D18" s="70"/>
      <c r="E18" s="43"/>
      <c r="F18" s="70"/>
      <c r="G18" s="80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75">
        <f>C18+E18+G18+I18+K18+M18+O18+Q18+S18+U18+W18+Y18</f>
        <v>0</v>
      </c>
      <c r="AB18" s="202"/>
      <c r="AC18" s="194">
        <f t="shared" si="17"/>
        <v>0</v>
      </c>
      <c r="AD18" s="202"/>
      <c r="AE18" s="75"/>
      <c r="AF18" s="158"/>
      <c r="AG18" s="75"/>
      <c r="AH18" s="194">
        <v>0</v>
      </c>
      <c r="AI18" s="243"/>
      <c r="AJ18" s="282">
        <f t="shared" si="1"/>
        <v>0</v>
      </c>
      <c r="AK18" s="53">
        <f t="shared" si="2"/>
        <v>0</v>
      </c>
      <c r="AL18" s="53">
        <f t="shared" si="3"/>
        <v>0</v>
      </c>
      <c r="AM18" s="53">
        <f t="shared" si="21"/>
        <v>0</v>
      </c>
      <c r="AN18" s="53"/>
      <c r="AQ18" s="53">
        <f t="shared" si="20"/>
        <v>0</v>
      </c>
    </row>
    <row r="19" spans="1:43">
      <c r="A19" s="3">
        <v>5504</v>
      </c>
      <c r="B19" s="112" t="s">
        <v>52</v>
      </c>
      <c r="C19" s="304">
        <v>-2.4E-2</v>
      </c>
      <c r="D19" s="49">
        <f>C19/C12</f>
        <v>-2.0472638148509199E-7</v>
      </c>
      <c r="E19" s="303">
        <v>-1.7999999999999999E-2</v>
      </c>
      <c r="F19" s="49">
        <f>E19/E12</f>
        <v>-1.9735796887072756E-7</v>
      </c>
      <c r="G19" s="523">
        <v>9.4E-2</v>
      </c>
      <c r="H19" s="49">
        <f>G19/G12</f>
        <v>6.2132929023278417E-7</v>
      </c>
      <c r="I19" s="540">
        <v>9.5000000000000001E-2</v>
      </c>
      <c r="J19" s="49">
        <f>I19/I12</f>
        <v>7.1114751296441714E-7</v>
      </c>
      <c r="K19" s="520">
        <v>0.104</v>
      </c>
      <c r="L19" s="49">
        <f>K19/K12</f>
        <v>8.5121122906582618E-7</v>
      </c>
      <c r="M19" s="540">
        <v>-5.0999999999999997E-2</v>
      </c>
      <c r="N19" s="49">
        <f>M19/M12</f>
        <v>-2.9437585816312735E-7</v>
      </c>
      <c r="O19" s="540">
        <v>0.182</v>
      </c>
      <c r="P19" s="49">
        <f>O19/O12</f>
        <v>1.6592960207495055E-6</v>
      </c>
      <c r="Q19" s="301">
        <v>0.128</v>
      </c>
      <c r="R19" s="49">
        <f>Q19/Q12</f>
        <v>9.3979281036058166E-7</v>
      </c>
      <c r="S19" s="540">
        <v>1.4E-2</v>
      </c>
      <c r="T19" s="49">
        <f>S19/S12</f>
        <v>1.0203688035306839E-7</v>
      </c>
      <c r="U19" s="43"/>
      <c r="V19" s="49">
        <f>U19/U12</f>
        <v>0</v>
      </c>
      <c r="W19" s="33"/>
      <c r="X19" s="49">
        <f>W19/W12</f>
        <v>0</v>
      </c>
      <c r="Y19" s="43"/>
      <c r="Z19" s="168">
        <f>Y19/Y12</f>
        <v>0</v>
      </c>
      <c r="AA19" s="275">
        <f>C19+E19+G19+I19+K19+M19+O19+Q19+S19+U19+W19+Y19</f>
        <v>0.52400000000000002</v>
      </c>
      <c r="AB19" s="203">
        <f>AA19/AA12</f>
        <v>3.361849185250612E-7</v>
      </c>
      <c r="AC19" s="194">
        <f t="shared" si="17"/>
        <v>4.3666666666666666E-2</v>
      </c>
      <c r="AD19" s="203">
        <f>AC19/AC12</f>
        <v>3.361849185250612E-7</v>
      </c>
      <c r="AE19" s="75"/>
      <c r="AF19" s="158"/>
      <c r="AG19" s="75"/>
      <c r="AH19" s="194">
        <v>0</v>
      </c>
      <c r="AI19" s="244">
        <f>AH19/AH12</f>
        <v>0</v>
      </c>
      <c r="AJ19" s="282">
        <f t="shared" si="1"/>
        <v>0.56766666666666665</v>
      </c>
      <c r="AK19" s="53">
        <f t="shared" si="2"/>
        <v>0</v>
      </c>
      <c r="AL19" s="53">
        <f t="shared" si="3"/>
        <v>0.52400000000000002</v>
      </c>
      <c r="AM19" s="53">
        <f t="shared" si="21"/>
        <v>5.3203999999999994</v>
      </c>
      <c r="AN19" s="53"/>
      <c r="AQ19" s="53">
        <f t="shared" si="20"/>
        <v>1.2032</v>
      </c>
    </row>
    <row r="20" spans="1:43">
      <c r="A20" s="3">
        <v>5505</v>
      </c>
      <c r="B20" s="112" t="s">
        <v>53</v>
      </c>
      <c r="C20" s="130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75">
        <f>C20+E20+G20+I20+K20+M20+O20+Q20+S20+U20+W20+Y20</f>
        <v>0</v>
      </c>
      <c r="AB20" s="202"/>
      <c r="AC20" s="194">
        <f t="shared" si="17"/>
        <v>0</v>
      </c>
      <c r="AD20" s="202"/>
      <c r="AE20" s="75"/>
      <c r="AF20" s="158"/>
      <c r="AG20" s="75"/>
      <c r="AH20" s="194">
        <v>0</v>
      </c>
      <c r="AI20" s="243"/>
      <c r="AJ20" s="282">
        <f t="shared" si="1"/>
        <v>0</v>
      </c>
      <c r="AK20" s="53">
        <f t="shared" si="2"/>
        <v>0</v>
      </c>
      <c r="AL20" s="53">
        <f t="shared" si="3"/>
        <v>0</v>
      </c>
      <c r="AM20" s="53">
        <f t="shared" si="21"/>
        <v>0</v>
      </c>
      <c r="AN20" s="53"/>
      <c r="AQ20" s="53">
        <f t="shared" si="20"/>
        <v>0</v>
      </c>
    </row>
    <row r="21" spans="1:43" ht="15.75" thickBot="1">
      <c r="A21" s="7">
        <v>5599</v>
      </c>
      <c r="B21" s="119" t="s">
        <v>94</v>
      </c>
      <c r="C21" s="27">
        <f>SUM(C17:C20)</f>
        <v>60091.889463999993</v>
      </c>
      <c r="D21" s="68">
        <f>C21/C12</f>
        <v>0.51259979527361843</v>
      </c>
      <c r="E21" s="55">
        <f>SUM(E17:E20)</f>
        <v>39509.914356000008</v>
      </c>
      <c r="F21" s="68">
        <f>E21/E12</f>
        <v>0.43319980264203123</v>
      </c>
      <c r="G21" s="82">
        <f>SUM(G17:G20)</f>
        <v>74872.791507260306</v>
      </c>
      <c r="H21" s="68">
        <f>G21/G12</f>
        <v>0.49490062132929019</v>
      </c>
      <c r="I21" s="20">
        <f>SUM(I17:I20)</f>
        <v>60474.889913825245</v>
      </c>
      <c r="J21" s="68">
        <f>I21/I12</f>
        <v>0.45270071114751304</v>
      </c>
      <c r="K21" s="55">
        <f>SUM(K17:K20)</f>
        <v>54491.866345410759</v>
      </c>
      <c r="L21" s="68">
        <f>K21/K12</f>
        <v>0.44600085121122907</v>
      </c>
      <c r="M21" s="20">
        <f>SUM(M17:M20)</f>
        <v>90418.029361910449</v>
      </c>
      <c r="N21" s="68">
        <f>M21/M12</f>
        <v>0.5218997056241419</v>
      </c>
      <c r="O21" s="20">
        <f>SUM(O17:O20)</f>
        <v>49490.085533250829</v>
      </c>
      <c r="P21" s="68">
        <f>O21/O12</f>
        <v>0.45120165929602074</v>
      </c>
      <c r="Q21" s="20">
        <f>SUM(Q17:Q20)</f>
        <v>58593.468354319499</v>
      </c>
      <c r="R21" s="68">
        <f>Q21/Q12</f>
        <v>0.43020093979281038</v>
      </c>
      <c r="S21" s="20">
        <f>SUM(S17:S20)</f>
        <v>54937.013059589852</v>
      </c>
      <c r="T21" s="68">
        <f>S21/S12</f>
        <v>0.40040010203688037</v>
      </c>
      <c r="U21" s="55">
        <f>SUM(U17:U20)</f>
        <v>54067.804045563746</v>
      </c>
      <c r="V21" s="68">
        <f>U21/U12</f>
        <v>0.49680000000000002</v>
      </c>
      <c r="W21" s="34">
        <f>SUM(W17:W20)</f>
        <v>51401.020392367136</v>
      </c>
      <c r="X21" s="68">
        <f>W21/W12</f>
        <v>0.4642</v>
      </c>
      <c r="Y21" s="55">
        <f>SUM(Y17:Y20)</f>
        <v>87318.212853641366</v>
      </c>
      <c r="Z21" s="212">
        <f>Y21/Y12</f>
        <v>0.52200000000000002</v>
      </c>
      <c r="AA21" s="200">
        <f>SUM(AA17:AA20)</f>
        <v>735666.98518713925</v>
      </c>
      <c r="AB21" s="234">
        <f>AA21/AA12</f>
        <v>0.47198501045174768</v>
      </c>
      <c r="AC21" s="199">
        <f t="shared" si="17"/>
        <v>61305.582098928273</v>
      </c>
      <c r="AD21" s="234">
        <f>AC21/AC12</f>
        <v>0.47198501045174773</v>
      </c>
      <c r="AE21" s="75"/>
      <c r="AF21" s="158"/>
      <c r="AG21" s="75"/>
      <c r="AH21" s="199">
        <f>SUM(AH17:AH20)</f>
        <v>402615.07500000001</v>
      </c>
      <c r="AI21" s="248">
        <f>AH21/AH12</f>
        <v>0.5</v>
      </c>
      <c r="AJ21" s="286">
        <f t="shared" si="1"/>
        <v>1199587.6422860676</v>
      </c>
      <c r="AK21" s="53">
        <f t="shared" si="2"/>
        <v>0</v>
      </c>
      <c r="AL21" s="53">
        <f t="shared" si="3"/>
        <v>735666.98518713925</v>
      </c>
      <c r="AM21" s="53">
        <f t="shared" si="21"/>
        <v>5979012.7048511095</v>
      </c>
      <c r="AN21" s="53"/>
      <c r="AQ21" s="53">
        <f t="shared" si="20"/>
        <v>550778.6025306033</v>
      </c>
    </row>
    <row r="22" spans="1:43" ht="15.75" thickTop="1">
      <c r="A22" s="97">
        <v>5601</v>
      </c>
      <c r="B22" s="3" t="s">
        <v>54</v>
      </c>
      <c r="C22" s="18"/>
      <c r="D22" s="49">
        <f>C22/C12</f>
        <v>0</v>
      </c>
      <c r="E22" s="18"/>
      <c r="F22" s="49">
        <f>E22/E12</f>
        <v>0</v>
      </c>
      <c r="G22" s="18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68">
        <f>Y22/Y12</f>
        <v>0</v>
      </c>
      <c r="AA22" s="275">
        <f t="shared" ref="AA22:AA34" si="22">C22+E22+G22+I22+K22+M22+O22+Q22+S22+U22+W22+Y22</f>
        <v>0</v>
      </c>
      <c r="AB22" s="203">
        <f>AA22/AA12</f>
        <v>0</v>
      </c>
      <c r="AC22" s="204">
        <f t="shared" si="17"/>
        <v>0</v>
      </c>
      <c r="AD22" s="203">
        <f>AC22/AC12</f>
        <v>0</v>
      </c>
      <c r="AE22" s="75"/>
      <c r="AF22" s="158"/>
      <c r="AG22" s="75"/>
      <c r="AH22" s="204">
        <v>0</v>
      </c>
      <c r="AI22" s="244">
        <f>AH22/AH12</f>
        <v>0</v>
      </c>
      <c r="AJ22" s="282">
        <f t="shared" si="1"/>
        <v>0</v>
      </c>
      <c r="AK22" s="53">
        <f t="shared" si="2"/>
        <v>0</v>
      </c>
      <c r="AL22" s="53">
        <f t="shared" si="3"/>
        <v>0</v>
      </c>
      <c r="AM22" s="53">
        <f t="shared" si="21"/>
        <v>0</v>
      </c>
      <c r="AN22" s="53"/>
      <c r="AQ22" s="53">
        <f t="shared" si="20"/>
        <v>0</v>
      </c>
    </row>
    <row r="23" spans="1:43">
      <c r="A23" s="3">
        <v>5602</v>
      </c>
      <c r="B23" s="3" t="s">
        <v>55</v>
      </c>
      <c r="C23" s="18"/>
      <c r="D23" s="49">
        <f>C23/C12</f>
        <v>0</v>
      </c>
      <c r="E23" s="18"/>
      <c r="F23" s="49">
        <f>E23/E12</f>
        <v>0</v>
      </c>
      <c r="G23" s="18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68">
        <f>Y23/Y12</f>
        <v>0</v>
      </c>
      <c r="AA23" s="275">
        <f t="shared" si="22"/>
        <v>0</v>
      </c>
      <c r="AB23" s="203">
        <f>AA23/AA12</f>
        <v>0</v>
      </c>
      <c r="AC23" s="204">
        <f t="shared" si="17"/>
        <v>0</v>
      </c>
      <c r="AD23" s="203">
        <f>AC23/AC12</f>
        <v>0</v>
      </c>
      <c r="AE23" s="75"/>
      <c r="AF23" s="158"/>
      <c r="AG23" s="75"/>
      <c r="AH23" s="204">
        <v>0</v>
      </c>
      <c r="AI23" s="244">
        <f>AH23/AH12</f>
        <v>0</v>
      </c>
      <c r="AJ23" s="282">
        <f t="shared" si="1"/>
        <v>0</v>
      </c>
      <c r="AK23" s="53">
        <f t="shared" si="2"/>
        <v>0</v>
      </c>
      <c r="AL23" s="53">
        <f t="shared" si="3"/>
        <v>0</v>
      </c>
      <c r="AM23" s="53">
        <f t="shared" si="21"/>
        <v>0</v>
      </c>
      <c r="AN23" s="53"/>
      <c r="AQ23" s="53">
        <f t="shared" si="20"/>
        <v>0</v>
      </c>
    </row>
    <row r="24" spans="1:43">
      <c r="A24" s="3">
        <v>5603</v>
      </c>
      <c r="B24" s="3" t="s">
        <v>56</v>
      </c>
      <c r="C24" s="18"/>
      <c r="D24" s="49">
        <f>C24/C12</f>
        <v>0</v>
      </c>
      <c r="E24" s="18"/>
      <c r="F24" s="49">
        <f>E24/E12</f>
        <v>0</v>
      </c>
      <c r="G24" s="18"/>
      <c r="H24" s="49">
        <f>G24/G12</f>
        <v>0</v>
      </c>
      <c r="I24" s="18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68">
        <f>Y24/Y12</f>
        <v>0</v>
      </c>
      <c r="AA24" s="275">
        <f t="shared" si="22"/>
        <v>0</v>
      </c>
      <c r="AB24" s="203">
        <f>AA24/AA12</f>
        <v>0</v>
      </c>
      <c r="AC24" s="204">
        <f t="shared" si="17"/>
        <v>0</v>
      </c>
      <c r="AD24" s="203">
        <f>AC24/AC12</f>
        <v>0</v>
      </c>
      <c r="AE24" s="75"/>
      <c r="AF24" s="158"/>
      <c r="AG24" s="75"/>
      <c r="AH24" s="204">
        <v>0</v>
      </c>
      <c r="AI24" s="244">
        <f>AH24/AH12</f>
        <v>0</v>
      </c>
      <c r="AJ24" s="282">
        <f t="shared" si="1"/>
        <v>0</v>
      </c>
      <c r="AK24" s="53">
        <f t="shared" si="2"/>
        <v>0</v>
      </c>
      <c r="AL24" s="53">
        <f t="shared" si="3"/>
        <v>0</v>
      </c>
      <c r="AM24" s="53">
        <f t="shared" si="21"/>
        <v>0</v>
      </c>
      <c r="AN24" s="53"/>
      <c r="AQ24" s="53">
        <f t="shared" si="20"/>
        <v>0</v>
      </c>
    </row>
    <row r="25" spans="1:43">
      <c r="A25" s="3">
        <v>5604</v>
      </c>
      <c r="B25" s="3" t="s">
        <v>57</v>
      </c>
      <c r="C25" s="540">
        <v>25</v>
      </c>
      <c r="D25" s="49">
        <f>C25/C12</f>
        <v>2.1325664738030417E-4</v>
      </c>
      <c r="E25" s="540">
        <v>25</v>
      </c>
      <c r="F25" s="49">
        <f>E25/E12</f>
        <v>2.7410829009823272E-4</v>
      </c>
      <c r="G25" s="540">
        <v>25</v>
      </c>
      <c r="H25" s="49">
        <f>G25/G12</f>
        <v>1.6524715165765536E-4</v>
      </c>
      <c r="I25" s="540">
        <v>25</v>
      </c>
      <c r="J25" s="49">
        <f>I25/I12</f>
        <v>1.8714408235905714E-4</v>
      </c>
      <c r="K25" s="540">
        <v>25</v>
      </c>
      <c r="L25" s="49">
        <f>K25/K12</f>
        <v>2.0461808391005439E-4</v>
      </c>
      <c r="M25" s="540">
        <v>25</v>
      </c>
      <c r="N25" s="49">
        <f>M25/M12</f>
        <v>1.4430189125643497E-4</v>
      </c>
      <c r="O25" s="540">
        <v>25</v>
      </c>
      <c r="P25" s="49">
        <f>O25/O12</f>
        <v>2.2792527757548153E-4</v>
      </c>
      <c r="Q25" s="540">
        <v>25</v>
      </c>
      <c r="R25" s="49">
        <f>Q25/Q12</f>
        <v>1.8355328327355111E-4</v>
      </c>
      <c r="S25" s="540">
        <v>25</v>
      </c>
      <c r="T25" s="49">
        <f>S25/S12</f>
        <v>1.8220871491619355E-4</v>
      </c>
      <c r="U25" s="540">
        <v>25</v>
      </c>
      <c r="V25" s="49">
        <f>U25/U12</f>
        <v>2.2971156715618563E-4</v>
      </c>
      <c r="W25" s="540">
        <v>25</v>
      </c>
      <c r="X25" s="49">
        <f>W25/W12</f>
        <v>2.2577372805858344E-4</v>
      </c>
      <c r="Y25" s="540">
        <v>25</v>
      </c>
      <c r="Z25" s="168">
        <f>Y25/Y12</f>
        <v>1.4945335656232211E-4</v>
      </c>
      <c r="AA25" s="275">
        <f t="shared" si="22"/>
        <v>300</v>
      </c>
      <c r="AB25" s="203">
        <f>AA25/AA12</f>
        <v>1.9247228159831746E-4</v>
      </c>
      <c r="AC25" s="204">
        <f t="shared" si="17"/>
        <v>25</v>
      </c>
      <c r="AD25" s="203">
        <f>AC25/AC12</f>
        <v>1.9247228159831748E-4</v>
      </c>
      <c r="AE25" s="75"/>
      <c r="AF25" s="158"/>
      <c r="AG25" s="75"/>
      <c r="AH25" s="204">
        <v>600</v>
      </c>
      <c r="AI25" s="244">
        <f>AH25/AH12</f>
        <v>7.4512858218237356E-4</v>
      </c>
      <c r="AJ25" s="282">
        <f t="shared" si="1"/>
        <v>925</v>
      </c>
      <c r="AK25" s="53">
        <f t="shared" si="2"/>
        <v>0</v>
      </c>
      <c r="AL25" s="53">
        <f t="shared" si="3"/>
        <v>300</v>
      </c>
      <c r="AM25" s="53">
        <f t="shared" si="21"/>
        <v>2350</v>
      </c>
      <c r="AN25" s="53" t="s">
        <v>205</v>
      </c>
      <c r="AQ25" s="53">
        <f t="shared" si="20"/>
        <v>235</v>
      </c>
    </row>
    <row r="26" spans="1:43">
      <c r="A26" s="3">
        <v>5605</v>
      </c>
      <c r="B26" s="3" t="s">
        <v>15</v>
      </c>
      <c r="C26" s="18"/>
      <c r="D26" s="49">
        <f>C26/C12</f>
        <v>0</v>
      </c>
      <c r="E26" s="540"/>
      <c r="F26" s="49">
        <f>E26/E12</f>
        <v>0</v>
      </c>
      <c r="G26" s="540"/>
      <c r="H26" s="49">
        <f>G26/G12</f>
        <v>0</v>
      </c>
      <c r="I26" s="540"/>
      <c r="J26" s="49">
        <f>I26/I12</f>
        <v>0</v>
      </c>
      <c r="K26" s="540"/>
      <c r="L26" s="49">
        <f>K26/K12</f>
        <v>0</v>
      </c>
      <c r="M26" s="540"/>
      <c r="N26" s="49">
        <f>M26/M12</f>
        <v>0</v>
      </c>
      <c r="O26" s="540"/>
      <c r="P26" s="49">
        <f>O26/O12</f>
        <v>0</v>
      </c>
      <c r="Q26" s="540"/>
      <c r="R26" s="49">
        <f>Q26/Q12</f>
        <v>0</v>
      </c>
      <c r="S26" s="540"/>
      <c r="T26" s="49">
        <f>S26/S12</f>
        <v>0</v>
      </c>
      <c r="U26" s="540"/>
      <c r="V26" s="49">
        <f>U26/U12</f>
        <v>0</v>
      </c>
      <c r="W26" s="540"/>
      <c r="X26" s="49">
        <f>W26/W12</f>
        <v>0</v>
      </c>
      <c r="Y26" s="540"/>
      <c r="Z26" s="168">
        <f>Y26/Y12</f>
        <v>0</v>
      </c>
      <c r="AA26" s="275">
        <f t="shared" si="22"/>
        <v>0</v>
      </c>
      <c r="AB26" s="203">
        <f>AA26/AA12</f>
        <v>0</v>
      </c>
      <c r="AC26" s="204">
        <f t="shared" si="17"/>
        <v>0</v>
      </c>
      <c r="AD26" s="203">
        <f>AC26/AC12</f>
        <v>0</v>
      </c>
      <c r="AE26" s="75"/>
      <c r="AF26" s="158"/>
      <c r="AG26" s="75"/>
      <c r="AH26" s="204">
        <v>0</v>
      </c>
      <c r="AI26" s="244">
        <f>AH26/AH12</f>
        <v>0</v>
      </c>
      <c r="AJ26" s="282">
        <f t="shared" si="1"/>
        <v>0</v>
      </c>
      <c r="AK26" s="53">
        <f t="shared" si="2"/>
        <v>0</v>
      </c>
      <c r="AL26" s="53">
        <f t="shared" si="3"/>
        <v>0</v>
      </c>
      <c r="AM26" s="53">
        <f t="shared" si="21"/>
        <v>0</v>
      </c>
      <c r="AN26" s="53"/>
      <c r="AQ26" s="53">
        <f t="shared" si="20"/>
        <v>0</v>
      </c>
    </row>
    <row r="27" spans="1:43">
      <c r="A27" s="3">
        <v>5606</v>
      </c>
      <c r="B27" s="3" t="s">
        <v>77</v>
      </c>
      <c r="C27" s="540">
        <f>C16*0.34%</f>
        <v>398.58077600000001</v>
      </c>
      <c r="D27" s="521">
        <f>C27/C12</f>
        <v>3.4000000000000002E-3</v>
      </c>
      <c r="E27" s="540">
        <f>E16*0.34%</f>
        <v>310.09642200000002</v>
      </c>
      <c r="F27" s="521">
        <f>E27/E12</f>
        <v>3.4000000000000002E-3</v>
      </c>
      <c r="G27" s="540">
        <f>G16*0.34%</f>
        <v>514.38102955078818</v>
      </c>
      <c r="H27" s="521">
        <f>G27/G12</f>
        <v>3.4000000000000002E-3</v>
      </c>
      <c r="I27" s="540">
        <f>I16*0.34%</f>
        <v>454.19549968413037</v>
      </c>
      <c r="J27" s="521">
        <f>I27/I12</f>
        <v>3.4000000000000002E-3</v>
      </c>
      <c r="K27" s="540">
        <f>K16*0.34%</f>
        <v>415.40805375425242</v>
      </c>
      <c r="L27" s="521">
        <f>K27/K12</f>
        <v>3.4000000000000002E-3</v>
      </c>
      <c r="M27" s="540">
        <f>M16*0.34%</f>
        <v>589.04286880723419</v>
      </c>
      <c r="N27" s="521">
        <f>M27/M12</f>
        <v>3.3999999999999998E-3</v>
      </c>
      <c r="O27" s="540">
        <f>O16*0.34%</f>
        <v>372.92923761758163</v>
      </c>
      <c r="P27" s="521">
        <f>O27/O12</f>
        <v>3.4000000000000002E-3</v>
      </c>
      <c r="Q27" s="540">
        <f>Q16*0.34%</f>
        <v>463.08079313037263</v>
      </c>
      <c r="R27" s="521">
        <f>Q27/Q12</f>
        <v>3.4000000000000002E-3</v>
      </c>
      <c r="S27" s="540">
        <f>S16*0.34%</f>
        <v>466.49799401250129</v>
      </c>
      <c r="T27" s="521">
        <f>S27/S12</f>
        <v>3.4000000000000002E-3</v>
      </c>
      <c r="U27" s="540">
        <f>U16*0.34%</f>
        <v>370.02925474017053</v>
      </c>
      <c r="V27" s="521">
        <f>U27/U12</f>
        <v>3.3999999999999998E-3</v>
      </c>
      <c r="W27" s="540">
        <f>W16*0.34%</f>
        <v>376.48313083595059</v>
      </c>
      <c r="X27" s="521">
        <f>W27/W12</f>
        <v>3.4000000000000002E-3</v>
      </c>
      <c r="Y27" s="540">
        <f>Y16*0.34%</f>
        <v>568.73931743751086</v>
      </c>
      <c r="Z27" s="168">
        <f>Y27/Y12</f>
        <v>3.4000000000000002E-3</v>
      </c>
      <c r="AA27" s="275">
        <f t="shared" si="22"/>
        <v>5299.4643775704935</v>
      </c>
      <c r="AB27" s="203">
        <f>AA27/AA12</f>
        <v>3.4000000000000007E-3</v>
      </c>
      <c r="AC27" s="204">
        <f t="shared" si="17"/>
        <v>441.62203146420779</v>
      </c>
      <c r="AD27" s="203">
        <f>AC27/AC12</f>
        <v>3.4000000000000011E-3</v>
      </c>
      <c r="AE27" s="75" t="s">
        <v>134</v>
      </c>
      <c r="AF27" s="158">
        <v>-1689</v>
      </c>
      <c r="AG27" s="75" t="s">
        <v>135</v>
      </c>
      <c r="AH27" s="204">
        <f>AA27</f>
        <v>5299.4643775704935</v>
      </c>
      <c r="AI27" s="244">
        <f>AH27/AH12</f>
        <v>6.5813039633084939E-3</v>
      </c>
      <c r="AJ27" s="282">
        <f t="shared" si="1"/>
        <v>11040.550786605196</v>
      </c>
      <c r="AK27" s="53">
        <f t="shared" si="2"/>
        <v>0</v>
      </c>
      <c r="AL27" s="53">
        <f t="shared" si="3"/>
        <v>5299.4643775704935</v>
      </c>
      <c r="AM27" s="53">
        <f t="shared" si="21"/>
        <v>43153.399487962626</v>
      </c>
      <c r="AN27" s="53" t="s">
        <v>206</v>
      </c>
      <c r="AQ27" s="53">
        <f t="shared" si="20"/>
        <v>4352.9594554255027</v>
      </c>
    </row>
    <row r="28" spans="1:43">
      <c r="A28" s="3">
        <v>5607</v>
      </c>
      <c r="B28" s="112" t="s">
        <v>58</v>
      </c>
      <c r="C28" s="130"/>
      <c r="D28" s="49">
        <f>C28/C12</f>
        <v>0</v>
      </c>
      <c r="E28" s="43"/>
      <c r="F28" s="49">
        <f>E28/E12</f>
        <v>0</v>
      </c>
      <c r="G28" s="80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68">
        <f>Y28/Y12</f>
        <v>0</v>
      </c>
      <c r="AA28" s="275">
        <f t="shared" si="22"/>
        <v>0</v>
      </c>
      <c r="AB28" s="203">
        <f>AA28/AA12</f>
        <v>0</v>
      </c>
      <c r="AC28" s="194">
        <f t="shared" si="17"/>
        <v>0</v>
      </c>
      <c r="AD28" s="203">
        <f>AC28/AC12</f>
        <v>0</v>
      </c>
      <c r="AE28" s="75"/>
      <c r="AF28" s="158"/>
      <c r="AG28" s="75"/>
      <c r="AH28" s="194">
        <v>0</v>
      </c>
      <c r="AI28" s="244">
        <f>AH28/AH12</f>
        <v>0</v>
      </c>
      <c r="AJ28" s="282">
        <f t="shared" si="1"/>
        <v>0</v>
      </c>
      <c r="AK28" s="53">
        <f t="shared" si="2"/>
        <v>0</v>
      </c>
      <c r="AL28" s="53">
        <f t="shared" si="3"/>
        <v>0</v>
      </c>
      <c r="AM28" s="53">
        <f t="shared" si="21"/>
        <v>0</v>
      </c>
      <c r="AN28" s="53"/>
      <c r="AQ28" s="53">
        <f t="shared" si="20"/>
        <v>0</v>
      </c>
    </row>
    <row r="29" spans="1:43">
      <c r="A29" s="3">
        <v>5608</v>
      </c>
      <c r="B29" s="112" t="s">
        <v>59</v>
      </c>
      <c r="C29" s="130"/>
      <c r="D29" s="49">
        <f>C29/C12</f>
        <v>0</v>
      </c>
      <c r="E29" s="43"/>
      <c r="F29" s="49">
        <f>E29/E12</f>
        <v>0</v>
      </c>
      <c r="G29" s="80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68">
        <f>Y29/Y12</f>
        <v>0</v>
      </c>
      <c r="AA29" s="275">
        <f t="shared" si="22"/>
        <v>0</v>
      </c>
      <c r="AB29" s="203">
        <f>AA29/AA12</f>
        <v>0</v>
      </c>
      <c r="AC29" s="194">
        <f t="shared" si="17"/>
        <v>0</v>
      </c>
      <c r="AD29" s="203">
        <f>AC29/AC12</f>
        <v>0</v>
      </c>
      <c r="AE29" s="75"/>
      <c r="AF29" s="158"/>
      <c r="AG29" s="75"/>
      <c r="AH29" s="194">
        <v>0</v>
      </c>
      <c r="AI29" s="244">
        <f>AH29/AH12</f>
        <v>0</v>
      </c>
      <c r="AJ29" s="282">
        <f t="shared" si="1"/>
        <v>0</v>
      </c>
      <c r="AK29" s="53">
        <f t="shared" si="2"/>
        <v>0</v>
      </c>
      <c r="AL29" s="53">
        <f t="shared" si="3"/>
        <v>0</v>
      </c>
      <c r="AM29" s="53">
        <f t="shared" si="21"/>
        <v>0</v>
      </c>
      <c r="AN29" s="53"/>
      <c r="AQ29" s="53">
        <f t="shared" si="20"/>
        <v>0</v>
      </c>
    </row>
    <row r="30" spans="1:43">
      <c r="A30" s="3">
        <v>5609</v>
      </c>
      <c r="B30" s="112" t="s">
        <v>60</v>
      </c>
      <c r="C30" s="130"/>
      <c r="D30" s="49">
        <f>C30/C12</f>
        <v>0</v>
      </c>
      <c r="E30" s="43"/>
      <c r="F30" s="49">
        <f>E30/E12</f>
        <v>0</v>
      </c>
      <c r="G30" s="80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68">
        <f>Y30/Y12</f>
        <v>0</v>
      </c>
      <c r="AA30" s="275">
        <f t="shared" si="22"/>
        <v>0</v>
      </c>
      <c r="AB30" s="203">
        <f>AA30/AA12</f>
        <v>0</v>
      </c>
      <c r="AC30" s="194">
        <f t="shared" si="17"/>
        <v>0</v>
      </c>
      <c r="AD30" s="203">
        <f>AC30/AC12</f>
        <v>0</v>
      </c>
      <c r="AE30" s="75"/>
      <c r="AF30" s="158"/>
      <c r="AG30" s="75"/>
      <c r="AH30" s="194">
        <v>0</v>
      </c>
      <c r="AI30" s="244">
        <f>AH30/AH12</f>
        <v>0</v>
      </c>
      <c r="AJ30" s="282">
        <f t="shared" si="1"/>
        <v>0</v>
      </c>
      <c r="AK30" s="53">
        <f t="shared" si="2"/>
        <v>0</v>
      </c>
      <c r="AL30" s="53">
        <f t="shared" si="3"/>
        <v>0</v>
      </c>
      <c r="AM30" s="53">
        <f t="shared" si="21"/>
        <v>0</v>
      </c>
      <c r="AN30" s="53"/>
      <c r="AQ30" s="53">
        <f t="shared" si="20"/>
        <v>0</v>
      </c>
    </row>
    <row r="31" spans="1:43">
      <c r="A31" s="3">
        <v>5610</v>
      </c>
      <c r="B31" s="112" t="s">
        <v>61</v>
      </c>
      <c r="C31" s="130"/>
      <c r="D31" s="49">
        <f>C31/C12</f>
        <v>0</v>
      </c>
      <c r="E31" s="43"/>
      <c r="F31" s="49">
        <f>E31/E12</f>
        <v>0</v>
      </c>
      <c r="G31" s="80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68">
        <f>Y31/Y12</f>
        <v>0</v>
      </c>
      <c r="AA31" s="275">
        <f t="shared" si="22"/>
        <v>0</v>
      </c>
      <c r="AB31" s="203">
        <f>AA31/AA12</f>
        <v>0</v>
      </c>
      <c r="AC31" s="194">
        <f t="shared" si="17"/>
        <v>0</v>
      </c>
      <c r="AD31" s="203">
        <f>AC31/AC12</f>
        <v>0</v>
      </c>
      <c r="AE31" s="75"/>
      <c r="AF31" s="158"/>
      <c r="AG31" s="75"/>
      <c r="AH31" s="194">
        <v>0</v>
      </c>
      <c r="AI31" s="244">
        <f>AH31/AH12</f>
        <v>0</v>
      </c>
      <c r="AJ31" s="282">
        <f t="shared" si="1"/>
        <v>0</v>
      </c>
      <c r="AK31" s="53">
        <f t="shared" si="2"/>
        <v>0</v>
      </c>
      <c r="AL31" s="53">
        <f t="shared" si="3"/>
        <v>0</v>
      </c>
      <c r="AM31" s="53">
        <f t="shared" si="21"/>
        <v>0</v>
      </c>
      <c r="AN31" s="53"/>
      <c r="AQ31" s="53">
        <f t="shared" si="20"/>
        <v>0</v>
      </c>
    </row>
    <row r="32" spans="1:43">
      <c r="A32" s="3">
        <v>5611</v>
      </c>
      <c r="B32" s="112" t="s">
        <v>95</v>
      </c>
      <c r="C32" s="130"/>
      <c r="D32" s="49">
        <f>C32/C12</f>
        <v>0</v>
      </c>
      <c r="E32" s="43"/>
      <c r="F32" s="49">
        <f>E32/E12</f>
        <v>0</v>
      </c>
      <c r="G32" s="80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68">
        <f>Y32/Y12</f>
        <v>0</v>
      </c>
      <c r="AA32" s="275">
        <f t="shared" si="22"/>
        <v>0</v>
      </c>
      <c r="AB32" s="203">
        <f>AA32/AA12</f>
        <v>0</v>
      </c>
      <c r="AC32" s="194">
        <f t="shared" si="17"/>
        <v>0</v>
      </c>
      <c r="AD32" s="203">
        <f>AC32/AC12</f>
        <v>0</v>
      </c>
      <c r="AE32" s="75"/>
      <c r="AF32" s="158"/>
      <c r="AG32" s="75"/>
      <c r="AH32" s="194">
        <v>0</v>
      </c>
      <c r="AI32" s="244">
        <f>AH32/AH12</f>
        <v>0</v>
      </c>
      <c r="AJ32" s="282">
        <f t="shared" si="1"/>
        <v>0</v>
      </c>
      <c r="AK32" s="53">
        <f t="shared" si="2"/>
        <v>0</v>
      </c>
      <c r="AL32" s="53">
        <f t="shared" si="3"/>
        <v>0</v>
      </c>
      <c r="AM32" s="53">
        <f t="shared" si="21"/>
        <v>0</v>
      </c>
      <c r="AN32" s="53"/>
      <c r="AQ32" s="53">
        <f t="shared" si="20"/>
        <v>0</v>
      </c>
    </row>
    <row r="33" spans="1:43">
      <c r="A33" s="3">
        <v>5612</v>
      </c>
      <c r="B33" s="112" t="s">
        <v>220</v>
      </c>
      <c r="C33" s="130"/>
      <c r="D33" s="49">
        <f>C33/C12</f>
        <v>0</v>
      </c>
      <c r="E33" s="43"/>
      <c r="F33" s="49">
        <f>E33/E12</f>
        <v>0</v>
      </c>
      <c r="G33" s="80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68">
        <f>Y33/Y12</f>
        <v>0</v>
      </c>
      <c r="AA33" s="275">
        <f t="shared" si="22"/>
        <v>0</v>
      </c>
      <c r="AB33" s="203">
        <f>AA33/AA12</f>
        <v>0</v>
      </c>
      <c r="AC33" s="194">
        <f t="shared" si="17"/>
        <v>0</v>
      </c>
      <c r="AD33" s="203">
        <f>AC33/AC12</f>
        <v>0</v>
      </c>
      <c r="AE33" s="75"/>
      <c r="AF33" s="158"/>
      <c r="AG33" s="75"/>
      <c r="AH33" s="194">
        <v>0</v>
      </c>
      <c r="AI33" s="244">
        <f>AH33/AH12</f>
        <v>0</v>
      </c>
      <c r="AJ33" s="282">
        <f t="shared" si="1"/>
        <v>0</v>
      </c>
      <c r="AK33" s="53">
        <f t="shared" si="2"/>
        <v>0</v>
      </c>
      <c r="AL33" s="53">
        <f t="shared" si="3"/>
        <v>0</v>
      </c>
      <c r="AM33" s="53">
        <f t="shared" si="21"/>
        <v>0</v>
      </c>
      <c r="AN33" s="53"/>
      <c r="AQ33" s="53">
        <f t="shared" si="20"/>
        <v>0</v>
      </c>
    </row>
    <row r="34" spans="1:43">
      <c r="A34" s="3">
        <v>5613</v>
      </c>
      <c r="B34" s="112" t="s">
        <v>63</v>
      </c>
      <c r="C34" s="130"/>
      <c r="D34" s="49">
        <f>C34/C12</f>
        <v>0</v>
      </c>
      <c r="E34" s="43"/>
      <c r="F34" s="49">
        <f>E34/E12</f>
        <v>0</v>
      </c>
      <c r="G34" s="80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68">
        <f>Y34/Y12</f>
        <v>0</v>
      </c>
      <c r="AA34" s="275">
        <f t="shared" si="22"/>
        <v>0</v>
      </c>
      <c r="AB34" s="203">
        <f>AA34/AA12</f>
        <v>0</v>
      </c>
      <c r="AC34" s="194">
        <f t="shared" si="17"/>
        <v>0</v>
      </c>
      <c r="AD34" s="203">
        <f>AC34/AC12</f>
        <v>0</v>
      </c>
      <c r="AE34" s="75"/>
      <c r="AF34" s="158"/>
      <c r="AG34" s="75"/>
      <c r="AH34" s="194">
        <v>0</v>
      </c>
      <c r="AI34" s="244">
        <f>AH34/AH12</f>
        <v>0</v>
      </c>
      <c r="AJ34" s="282">
        <f t="shared" si="1"/>
        <v>0</v>
      </c>
      <c r="AK34" s="53">
        <f t="shared" si="2"/>
        <v>0</v>
      </c>
      <c r="AL34" s="53">
        <f t="shared" si="3"/>
        <v>0</v>
      </c>
      <c r="AM34" s="53">
        <f t="shared" si="21"/>
        <v>0</v>
      </c>
      <c r="AN34" s="53"/>
      <c r="AQ34" s="53">
        <f t="shared" si="20"/>
        <v>0</v>
      </c>
    </row>
    <row r="35" spans="1:43">
      <c r="A35" s="8">
        <v>5699</v>
      </c>
      <c r="B35" s="113" t="s">
        <v>96</v>
      </c>
      <c r="C35" s="29">
        <f>SUM(C22:C34)</f>
        <v>423.58077600000001</v>
      </c>
      <c r="D35" s="66">
        <f>C35/C12</f>
        <v>3.6132566473803043E-3</v>
      </c>
      <c r="E35" s="58">
        <f>SUM(E22:E34)</f>
        <v>335.09642200000002</v>
      </c>
      <c r="F35" s="66">
        <f>E35/E12</f>
        <v>3.6741082900982329E-3</v>
      </c>
      <c r="G35" s="85">
        <f>SUM(G22:G34)</f>
        <v>539.38102955078818</v>
      </c>
      <c r="H35" s="66">
        <f>G35/G12</f>
        <v>3.5652471516576553E-3</v>
      </c>
      <c r="I35" s="21">
        <f>SUM(I22:I34)</f>
        <v>479.19549968413037</v>
      </c>
      <c r="J35" s="66">
        <f>I35/I12</f>
        <v>3.5871440823590575E-3</v>
      </c>
      <c r="K35" s="58">
        <f>SUM(K22:K34)</f>
        <v>440.40805375425242</v>
      </c>
      <c r="L35" s="66">
        <f>K35/K12</f>
        <v>3.6046180839100547E-3</v>
      </c>
      <c r="M35" s="21">
        <f>SUM(M22:M34)</f>
        <v>614.04286880723419</v>
      </c>
      <c r="N35" s="66">
        <f>M35/M12</f>
        <v>3.5443018912564351E-3</v>
      </c>
      <c r="O35" s="21">
        <f>SUM(O22:O34)</f>
        <v>397.92923761758163</v>
      </c>
      <c r="P35" s="66">
        <f>O35/O12</f>
        <v>3.6279252775754819E-3</v>
      </c>
      <c r="Q35" s="21">
        <f>SUM(Q22:Q34)</f>
        <v>488.08079313037263</v>
      </c>
      <c r="R35" s="66">
        <f>Q35/Q12</f>
        <v>3.5835532832735515E-3</v>
      </c>
      <c r="S35" s="21">
        <f>SUM(S22:S34)</f>
        <v>491.49799401250129</v>
      </c>
      <c r="T35" s="66">
        <f>S35/S12</f>
        <v>3.5822087149161939E-3</v>
      </c>
      <c r="U35" s="58">
        <f>SUM(U22:U34)</f>
        <v>395.02925474017053</v>
      </c>
      <c r="V35" s="66">
        <f>U35/U12</f>
        <v>3.6297115671561856E-3</v>
      </c>
      <c r="W35" s="40">
        <f>SUM(W22:W34)</f>
        <v>401.48313083595059</v>
      </c>
      <c r="X35" s="66">
        <f>W35/W12</f>
        <v>3.6257737280585836E-3</v>
      </c>
      <c r="Y35" s="58">
        <f>SUM(Y22:Y34)</f>
        <v>593.73931743751086</v>
      </c>
      <c r="Z35" s="213">
        <f>Y35/Y12</f>
        <v>3.5494533565623224E-3</v>
      </c>
      <c r="AA35" s="200">
        <f>SUM(AA22:AA34)</f>
        <v>5599.4643775704935</v>
      </c>
      <c r="AB35" s="234">
        <f>AA35/AA12</f>
        <v>3.5924722815983182E-3</v>
      </c>
      <c r="AC35" s="235">
        <f t="shared" si="17"/>
        <v>466.62203146420779</v>
      </c>
      <c r="AD35" s="234">
        <f>AC35/AC12</f>
        <v>3.5924722815983182E-3</v>
      </c>
      <c r="AE35" s="75"/>
      <c r="AF35" s="158"/>
      <c r="AG35" s="75"/>
      <c r="AH35" s="235">
        <f>SUM(AH22:AH34)</f>
        <v>5899.4643775704935</v>
      </c>
      <c r="AI35" s="248">
        <f>AH35/AH12</f>
        <v>7.3264325454908677E-3</v>
      </c>
      <c r="AJ35" s="286">
        <f t="shared" si="1"/>
        <v>11965.550786605196</v>
      </c>
      <c r="AK35" s="53">
        <f t="shared" si="2"/>
        <v>0</v>
      </c>
      <c r="AL35" s="53">
        <f t="shared" si="3"/>
        <v>5599.4643775704926</v>
      </c>
      <c r="AM35" s="53">
        <f t="shared" si="21"/>
        <v>45503.399487962626</v>
      </c>
      <c r="AN35" s="53"/>
      <c r="AQ35" s="53">
        <f t="shared" si="20"/>
        <v>4587.9594554255027</v>
      </c>
    </row>
    <row r="36" spans="1:43">
      <c r="A36" s="8">
        <v>5999</v>
      </c>
      <c r="B36" s="113" t="s">
        <v>97</v>
      </c>
      <c r="C36" s="29">
        <f>C21+C35</f>
        <v>60515.470239999995</v>
      </c>
      <c r="D36" s="66">
        <f>C36/C12</f>
        <v>0.51621305192099876</v>
      </c>
      <c r="E36" s="58">
        <f>E21+E35</f>
        <v>39845.010778000011</v>
      </c>
      <c r="F36" s="66">
        <f>E36/E12</f>
        <v>0.43687391093212946</v>
      </c>
      <c r="G36" s="85">
        <f>G21+G35</f>
        <v>75412.172536811093</v>
      </c>
      <c r="H36" s="66">
        <f>G36/G12</f>
        <v>0.49846586848094782</v>
      </c>
      <c r="I36" s="21">
        <f>I21+I35</f>
        <v>60954.085413509376</v>
      </c>
      <c r="J36" s="66">
        <f>I36/I12</f>
        <v>0.45628785522987209</v>
      </c>
      <c r="K36" s="58">
        <f>K21+K35</f>
        <v>54932.274399165013</v>
      </c>
      <c r="L36" s="66">
        <f>K36/K12</f>
        <v>0.44960546929513917</v>
      </c>
      <c r="M36" s="21">
        <f>M21+M35</f>
        <v>91032.072230717677</v>
      </c>
      <c r="N36" s="66">
        <f>M36/M12</f>
        <v>0.52544400751539821</v>
      </c>
      <c r="O36" s="21">
        <f>O21+O35</f>
        <v>49888.014770868409</v>
      </c>
      <c r="P36" s="66">
        <f>O36/O12</f>
        <v>0.45482958457359618</v>
      </c>
      <c r="Q36" s="21">
        <f>Q21+Q35</f>
        <v>59081.54914744987</v>
      </c>
      <c r="R36" s="66">
        <f>Q36/Q12</f>
        <v>0.43378449307608391</v>
      </c>
      <c r="S36" s="21">
        <f>S21+S35</f>
        <v>55428.511053602357</v>
      </c>
      <c r="T36" s="66">
        <f>S36/S12</f>
        <v>0.40398231075179658</v>
      </c>
      <c r="U36" s="58">
        <f>U21+U35</f>
        <v>54462.833300303915</v>
      </c>
      <c r="V36" s="66">
        <f>U36/U12</f>
        <v>0.50042971156715621</v>
      </c>
      <c r="W36" s="40">
        <f>W21+W35</f>
        <v>51802.503523203086</v>
      </c>
      <c r="X36" s="66">
        <f>W36/W12</f>
        <v>0.46782577372805861</v>
      </c>
      <c r="Y36" s="58">
        <f>Y21+Y35</f>
        <v>87911.952171078883</v>
      </c>
      <c r="Z36" s="213">
        <f>Y36/Y12</f>
        <v>0.52554945335656233</v>
      </c>
      <c r="AA36" s="200">
        <f>AA21+AA35</f>
        <v>741266.44956470979</v>
      </c>
      <c r="AB36" s="234">
        <f>AA36/AA12</f>
        <v>0.47557748273334605</v>
      </c>
      <c r="AC36" s="235">
        <f t="shared" si="17"/>
        <v>61772.204130392485</v>
      </c>
      <c r="AD36" s="234">
        <f>AC36/AC12</f>
        <v>0.4755774827333461</v>
      </c>
      <c r="AE36" s="75"/>
      <c r="AF36" s="158"/>
      <c r="AG36" s="75"/>
      <c r="AH36" s="235">
        <f>AH35+AH21</f>
        <v>408514.5393775705</v>
      </c>
      <c r="AI36" s="248">
        <f>AH36/AH12</f>
        <v>0.50732643254549081</v>
      </c>
      <c r="AJ36" s="286">
        <f t="shared" si="1"/>
        <v>1211553.1930726729</v>
      </c>
      <c r="AK36" s="53">
        <f t="shared" si="2"/>
        <v>0</v>
      </c>
      <c r="AL36" s="53">
        <f t="shared" si="3"/>
        <v>741266.44956470968</v>
      </c>
      <c r="AM36" s="53">
        <f t="shared" si="21"/>
        <v>6024516.1043390715</v>
      </c>
      <c r="AN36" s="53"/>
      <c r="AQ36" s="53">
        <f t="shared" si="20"/>
        <v>555366.5619860288</v>
      </c>
    </row>
    <row r="37" spans="1:43" ht="15.75" thickBot="1">
      <c r="A37" s="9"/>
      <c r="B37" s="114" t="s">
        <v>69</v>
      </c>
      <c r="C37" s="28">
        <f>(C16-C36)</f>
        <v>56714.169760000004</v>
      </c>
      <c r="D37" s="67">
        <f>C37/C12</f>
        <v>0.48378694807900124</v>
      </c>
      <c r="E37" s="59">
        <f>(E16-E36)</f>
        <v>51359.819221999991</v>
      </c>
      <c r="F37" s="67">
        <f>E37/E12</f>
        <v>0.56312608906787054</v>
      </c>
      <c r="G37" s="86">
        <f>(G16-G36)</f>
        <v>75876.365566361899</v>
      </c>
      <c r="H37" s="67">
        <f>G37/G12</f>
        <v>0.50153413151905213</v>
      </c>
      <c r="I37" s="22">
        <f>(I16-I36)</f>
        <v>72632.826258293673</v>
      </c>
      <c r="J37" s="67">
        <f>I37/I12</f>
        <v>0.54371214477012797</v>
      </c>
      <c r="K37" s="59">
        <f>(K16-K36)</f>
        <v>67246.564940320997</v>
      </c>
      <c r="L37" s="67">
        <f>K37/K12</f>
        <v>0.55039453070486088</v>
      </c>
      <c r="M37" s="22">
        <f>(M16-M36)</f>
        <v>82215.830359645319</v>
      </c>
      <c r="N37" s="67">
        <f>M37/M12</f>
        <v>0.47455599248460173</v>
      </c>
      <c r="O37" s="22">
        <f>(O16-O36)</f>
        <v>59797.055116655596</v>
      </c>
      <c r="P37" s="67">
        <f>O37/O12</f>
        <v>0.54517041542640376</v>
      </c>
      <c r="Q37" s="22">
        <f>(Q16-Q36)</f>
        <v>77118.684126189124</v>
      </c>
      <c r="R37" s="67">
        <f>Q37/Q12</f>
        <v>0.56621550692391609</v>
      </c>
      <c r="S37" s="22">
        <f>(S16-S36)</f>
        <v>81776.781303015654</v>
      </c>
      <c r="T37" s="67">
        <f>S37/S12</f>
        <v>0.59601768924820342</v>
      </c>
      <c r="U37" s="59">
        <f>(U16-U36)</f>
        <v>54369.300446805064</v>
      </c>
      <c r="V37" s="67">
        <f>U37/U12</f>
        <v>0.49957028843284379</v>
      </c>
      <c r="W37" s="41">
        <f>(W16-W36)</f>
        <v>58927.829075605907</v>
      </c>
      <c r="X37" s="67">
        <f>W37/W12</f>
        <v>0.53217422627194144</v>
      </c>
      <c r="Y37" s="59">
        <f>(Y16-Y36)</f>
        <v>79364.317663483118</v>
      </c>
      <c r="Z37" s="214">
        <f>Y37/Y12</f>
        <v>0.47445054664343761</v>
      </c>
      <c r="AA37" s="277">
        <f>(AA16-AA36)</f>
        <v>817399.54383837618</v>
      </c>
      <c r="AB37" s="236">
        <f>AA37/AA12</f>
        <v>0.5244225172666539</v>
      </c>
      <c r="AC37" s="232">
        <f t="shared" si="17"/>
        <v>68116.628653198015</v>
      </c>
      <c r="AD37" s="236">
        <f>AC37/AC12</f>
        <v>0.52442251726665401</v>
      </c>
      <c r="AE37" s="75"/>
      <c r="AF37" s="158"/>
      <c r="AG37" s="75"/>
      <c r="AH37" s="232">
        <f>(AH16-AH36)</f>
        <v>396715.61062242952</v>
      </c>
      <c r="AI37" s="249">
        <f>AH37/AH12</f>
        <v>0.49267356745450913</v>
      </c>
      <c r="AJ37" s="287">
        <f t="shared" si="1"/>
        <v>1282231.7831140037</v>
      </c>
      <c r="AK37" s="53">
        <f t="shared" si="2"/>
        <v>0</v>
      </c>
      <c r="AL37" s="53">
        <f t="shared" ref="AL37:AL69" si="23">C37+E37+G37+I37+K37+M37+O37+Q37+S37+U37+W37+Y37</f>
        <v>817399.54383837641</v>
      </c>
      <c r="AM37" s="53">
        <f t="shared" si="21"/>
        <v>6667660.2156499382</v>
      </c>
      <c r="AN37" s="53"/>
      <c r="AQ37" s="53">
        <f t="shared" si="20"/>
        <v>724915.63078617782</v>
      </c>
    </row>
    <row r="38" spans="1:43" ht="15.75" thickTop="1">
      <c r="A38" s="2">
        <v>6002</v>
      </c>
      <c r="B38" s="108" t="s">
        <v>46</v>
      </c>
      <c r="C38" s="130"/>
      <c r="D38" s="49">
        <f>C38/C12</f>
        <v>0</v>
      </c>
      <c r="E38" s="43"/>
      <c r="F38" s="49">
        <f>E38/E12</f>
        <v>0</v>
      </c>
      <c r="G38" s="80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68">
        <f>Y38/Y12</f>
        <v>0</v>
      </c>
      <c r="AA38" s="275">
        <f>C38+E38+G38+I38+K38+M38+O38+Q38+S38+U38+W38+Y38</f>
        <v>0</v>
      </c>
      <c r="AB38" s="203">
        <f>AA38/AA12</f>
        <v>0</v>
      </c>
      <c r="AC38" s="194">
        <f t="shared" si="17"/>
        <v>0</v>
      </c>
      <c r="AD38" s="203">
        <f>AC38/AC12</f>
        <v>0</v>
      </c>
      <c r="AE38" s="75"/>
      <c r="AF38" s="158"/>
      <c r="AG38" s="75"/>
      <c r="AH38" s="194">
        <v>0</v>
      </c>
      <c r="AI38" s="244">
        <f>AH38/AH12</f>
        <v>0</v>
      </c>
      <c r="AJ38" s="282">
        <f t="shared" si="1"/>
        <v>0</v>
      </c>
      <c r="AK38" s="53">
        <f t="shared" si="2"/>
        <v>0</v>
      </c>
      <c r="AL38" s="53">
        <f t="shared" si="23"/>
        <v>0</v>
      </c>
      <c r="AM38" s="53">
        <f t="shared" si="21"/>
        <v>0</v>
      </c>
      <c r="AN38" s="53"/>
      <c r="AQ38" s="53">
        <f t="shared" si="20"/>
        <v>0</v>
      </c>
    </row>
    <row r="39" spans="1:43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18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68">
        <f>Y39/Y12</f>
        <v>0</v>
      </c>
      <c r="AA39" s="275">
        <f>C39+E39+G39+I39+K39+M39+O39+Q39+S39+U39+W39+Y39</f>
        <v>0</v>
      </c>
      <c r="AB39" s="203">
        <f>AA39/AA12</f>
        <v>0</v>
      </c>
      <c r="AC39" s="194">
        <f t="shared" si="17"/>
        <v>0</v>
      </c>
      <c r="AD39" s="203">
        <f>AC39/AC12</f>
        <v>0</v>
      </c>
      <c r="AE39" s="75"/>
      <c r="AF39" s="158"/>
      <c r="AG39" s="75"/>
      <c r="AH39" s="194">
        <v>0</v>
      </c>
      <c r="AI39" s="244">
        <f>AH39/AH12</f>
        <v>0</v>
      </c>
      <c r="AJ39" s="282">
        <f t="shared" si="1"/>
        <v>0</v>
      </c>
      <c r="AK39" s="53">
        <f t="shared" si="2"/>
        <v>0</v>
      </c>
      <c r="AL39" s="53">
        <f t="shared" si="23"/>
        <v>0</v>
      </c>
      <c r="AM39" s="53">
        <f t="shared" si="21"/>
        <v>0</v>
      </c>
      <c r="AN39" s="53"/>
      <c r="AQ39" s="53">
        <f t="shared" si="20"/>
        <v>0</v>
      </c>
    </row>
    <row r="40" spans="1:43">
      <c r="A40" s="2">
        <v>6004</v>
      </c>
      <c r="B40" s="108" t="s">
        <v>1</v>
      </c>
      <c r="C40" s="130"/>
      <c r="D40" s="49">
        <f>C40/C12</f>
        <v>0</v>
      </c>
      <c r="E40" s="43"/>
      <c r="F40" s="49">
        <f>E40/E12</f>
        <v>0</v>
      </c>
      <c r="G40" s="80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68">
        <f>Y40/Y12</f>
        <v>0</v>
      </c>
      <c r="AA40" s="275">
        <f>C40+E40+G40+I40+K40+M40+O40+Q40+S40+U40+W40+Y40</f>
        <v>0</v>
      </c>
      <c r="AB40" s="203">
        <f>AA40/AA12</f>
        <v>0</v>
      </c>
      <c r="AC40" s="194">
        <f t="shared" si="17"/>
        <v>0</v>
      </c>
      <c r="AD40" s="203">
        <f>AC40/AC12</f>
        <v>0</v>
      </c>
      <c r="AE40" s="75"/>
      <c r="AF40" s="158"/>
      <c r="AG40" s="75"/>
      <c r="AH40" s="194">
        <v>0</v>
      </c>
      <c r="AI40" s="244">
        <f>AH40/AH12</f>
        <v>0</v>
      </c>
      <c r="AJ40" s="282">
        <f t="shared" si="1"/>
        <v>0</v>
      </c>
      <c r="AK40" s="53">
        <f t="shared" si="2"/>
        <v>0</v>
      </c>
      <c r="AL40" s="53">
        <f t="shared" si="23"/>
        <v>0</v>
      </c>
      <c r="AM40" s="53">
        <f t="shared" si="21"/>
        <v>0</v>
      </c>
      <c r="AN40" s="53"/>
      <c r="AQ40" s="53">
        <f t="shared" si="20"/>
        <v>0</v>
      </c>
    </row>
    <row r="41" spans="1:43" ht="15.75" thickBot="1">
      <c r="A41" s="4">
        <v>6099</v>
      </c>
      <c r="B41" s="109" t="s">
        <v>98</v>
      </c>
      <c r="C41" s="27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82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212">
        <f>Y41/Y12</f>
        <v>0</v>
      </c>
      <c r="AA41" s="276">
        <f>SUM(AA38:AA40)</f>
        <v>0</v>
      </c>
      <c r="AB41" s="234">
        <f>AA41/AA12</f>
        <v>0</v>
      </c>
      <c r="AC41" s="199">
        <f t="shared" si="17"/>
        <v>0</v>
      </c>
      <c r="AD41" s="234">
        <f>AC41/AC12</f>
        <v>0</v>
      </c>
      <c r="AE41" s="75"/>
      <c r="AF41" s="158"/>
      <c r="AG41" s="75"/>
      <c r="AH41" s="199">
        <v>0</v>
      </c>
      <c r="AI41" s="248">
        <f>AH41/AH12</f>
        <v>0</v>
      </c>
      <c r="AJ41" s="282">
        <f t="shared" si="1"/>
        <v>0</v>
      </c>
      <c r="AK41" s="53">
        <f t="shared" si="2"/>
        <v>0</v>
      </c>
      <c r="AL41" s="53">
        <f t="shared" si="23"/>
        <v>0</v>
      </c>
      <c r="AM41" s="53">
        <f t="shared" si="21"/>
        <v>0</v>
      </c>
      <c r="AN41" s="53"/>
      <c r="AQ41" s="53">
        <f t="shared" si="20"/>
        <v>0</v>
      </c>
    </row>
    <row r="42" spans="1:43" ht="15.75" thickTop="1">
      <c r="A42" s="98">
        <v>6101</v>
      </c>
      <c r="B42" s="107" t="s">
        <v>2</v>
      </c>
      <c r="C42" s="524">
        <f>C16*4.5%</f>
        <v>5275.3337999999994</v>
      </c>
      <c r="D42" s="49">
        <f>C42/C12</f>
        <v>4.4999999999999998E-2</v>
      </c>
      <c r="E42" s="524">
        <f>E16*4.5%</f>
        <v>4104.2173499999999</v>
      </c>
      <c r="F42" s="49">
        <f>E42/E12</f>
        <v>4.4999999999999998E-2</v>
      </c>
      <c r="G42" s="524">
        <f>G16*4.5%</f>
        <v>6807.9842146427845</v>
      </c>
      <c r="H42" s="49">
        <f>G42/G12</f>
        <v>4.4999999999999998E-2</v>
      </c>
      <c r="I42" s="524">
        <f>I16*4.5%</f>
        <v>6011.4110252311366</v>
      </c>
      <c r="J42" s="49">
        <f>I42/I12</f>
        <v>4.4999999999999998E-2</v>
      </c>
      <c r="K42" s="524">
        <f>K16*4.5%</f>
        <v>5498.0477702768703</v>
      </c>
      <c r="L42" s="49">
        <f>K42/K12</f>
        <v>4.4999999999999998E-2</v>
      </c>
      <c r="M42" s="524">
        <f>M16*4.5%</f>
        <v>7796.1556165663342</v>
      </c>
      <c r="N42" s="49">
        <f>M42/M12</f>
        <v>4.4999999999999998E-2</v>
      </c>
      <c r="O42" s="524">
        <f>O16*4.5%</f>
        <v>4935.8281449385804</v>
      </c>
      <c r="P42" s="49">
        <f>O42/O12</f>
        <v>4.4999999999999998E-2</v>
      </c>
      <c r="Q42" s="524">
        <f>Q16*4.5%</f>
        <v>6129.010497313755</v>
      </c>
      <c r="R42" s="49">
        <f>Q42/Q12</f>
        <v>4.4999999999999998E-2</v>
      </c>
      <c r="S42" s="524">
        <f>S16*4.5%</f>
        <v>6174.2381560478107</v>
      </c>
      <c r="T42" s="49">
        <f>S42/S12</f>
        <v>4.4999999999999998E-2</v>
      </c>
      <c r="U42" s="524">
        <f>U16*4.5%</f>
        <v>4897.446018619904</v>
      </c>
      <c r="V42" s="49">
        <f>U42/U12</f>
        <v>4.4999999999999998E-2</v>
      </c>
      <c r="W42" s="524">
        <f>W16*4.5%</f>
        <v>4982.8649669464048</v>
      </c>
      <c r="X42" s="49">
        <f>W42/W12</f>
        <v>4.4999999999999998E-2</v>
      </c>
      <c r="Y42" s="524">
        <f>Y16*4.5%</f>
        <v>7527.4321425552898</v>
      </c>
      <c r="Z42" s="168">
        <f>Y42/Y12</f>
        <v>4.4999999999999998E-2</v>
      </c>
      <c r="AA42" s="474">
        <f t="shared" ref="AA42:AA75" si="24">C42+E42+G42+I42+K42+M42+O42+Q42+S42+U42+W42+Y42</f>
        <v>70139.969703138879</v>
      </c>
      <c r="AB42" s="203">
        <f>AA42/AA12</f>
        <v>4.5000000000000005E-2</v>
      </c>
      <c r="AC42" s="194">
        <f t="shared" si="17"/>
        <v>5844.9974752615735</v>
      </c>
      <c r="AD42" s="203">
        <f>AC42/AC12</f>
        <v>4.5000000000000012E-2</v>
      </c>
      <c r="AE42" s="542" t="s">
        <v>271</v>
      </c>
      <c r="AF42" s="158">
        <v>47340</v>
      </c>
      <c r="AG42" s="542" t="s">
        <v>272</v>
      </c>
      <c r="AH42" s="194">
        <v>90000</v>
      </c>
      <c r="AI42" s="244">
        <f>AH42/AH12</f>
        <v>0.11176928732735603</v>
      </c>
      <c r="AJ42" s="282">
        <f t="shared" si="1"/>
        <v>165984.96717840043</v>
      </c>
      <c r="AK42" s="53">
        <f t="shared" si="2"/>
        <v>0</v>
      </c>
      <c r="AL42" s="53">
        <f t="shared" si="23"/>
        <v>70139.969703138879</v>
      </c>
      <c r="AM42" s="53">
        <f t="shared" si="21"/>
        <v>571147.9343995055</v>
      </c>
      <c r="AN42" s="53" t="s">
        <v>210</v>
      </c>
      <c r="AQ42" s="53">
        <f t="shared" si="20"/>
        <v>57612.698674749299</v>
      </c>
    </row>
    <row r="43" spans="1:43">
      <c r="A43" s="98">
        <v>6102</v>
      </c>
      <c r="B43" s="107" t="s">
        <v>3</v>
      </c>
      <c r="C43" s="543">
        <v>1200</v>
      </c>
      <c r="D43" s="49">
        <f>C43/C12</f>
        <v>1.02363190742546E-2</v>
      </c>
      <c r="E43" s="543">
        <v>1200</v>
      </c>
      <c r="F43" s="49">
        <f>E43/E12</f>
        <v>1.3157197924715171E-2</v>
      </c>
      <c r="G43" s="543">
        <v>1200</v>
      </c>
      <c r="H43" s="49">
        <f>G43/G12</f>
        <v>7.9318632795674568E-3</v>
      </c>
      <c r="I43" s="543">
        <v>1200</v>
      </c>
      <c r="J43" s="49">
        <f>I43/I12</f>
        <v>8.9829159532347422E-3</v>
      </c>
      <c r="K43" s="543">
        <v>1200</v>
      </c>
      <c r="L43" s="49">
        <f>K43/K12</f>
        <v>9.8216680276826101E-3</v>
      </c>
      <c r="M43" s="543">
        <v>1200</v>
      </c>
      <c r="N43" s="49">
        <f>M43/M12</f>
        <v>6.9264907803088787E-3</v>
      </c>
      <c r="O43" s="543">
        <v>1200</v>
      </c>
      <c r="P43" s="49">
        <f>O43/O12</f>
        <v>1.0940413323623114E-2</v>
      </c>
      <c r="Q43" s="543">
        <v>1200</v>
      </c>
      <c r="R43" s="49">
        <f>Q43/Q12</f>
        <v>8.8105575971304528E-3</v>
      </c>
      <c r="S43" s="543">
        <v>1200</v>
      </c>
      <c r="T43" s="49">
        <f>S43/S12</f>
        <v>8.7460183159772907E-3</v>
      </c>
      <c r="U43" s="525">
        <v>1200</v>
      </c>
      <c r="V43" s="49">
        <f>U43/U12</f>
        <v>1.102615522349691E-2</v>
      </c>
      <c r="W43" s="525">
        <v>1200</v>
      </c>
      <c r="X43" s="49">
        <f>W43/W12</f>
        <v>1.0837138946812005E-2</v>
      </c>
      <c r="Y43" s="525">
        <v>1200</v>
      </c>
      <c r="Z43" s="168">
        <f>Y43/Y12</f>
        <v>7.1737611149914607E-3</v>
      </c>
      <c r="AA43" s="275">
        <f t="shared" si="24"/>
        <v>14400</v>
      </c>
      <c r="AB43" s="203">
        <f>AA43/AA12</f>
        <v>9.2386695167192383E-3</v>
      </c>
      <c r="AC43" s="195">
        <f t="shared" si="17"/>
        <v>1200</v>
      </c>
      <c r="AD43" s="203">
        <f>AC43/AC12</f>
        <v>9.2386695167192383E-3</v>
      </c>
      <c r="AE43" s="542" t="s">
        <v>271</v>
      </c>
      <c r="AF43" s="158">
        <v>8850</v>
      </c>
      <c r="AG43" s="542" t="s">
        <v>273</v>
      </c>
      <c r="AH43" s="195">
        <v>23000</v>
      </c>
      <c r="AI43" s="244">
        <f>AH43/AH12</f>
        <v>2.8563262316990985E-2</v>
      </c>
      <c r="AJ43" s="282">
        <f t="shared" si="1"/>
        <v>38600</v>
      </c>
      <c r="AK43" s="53">
        <f t="shared" si="2"/>
        <v>0</v>
      </c>
      <c r="AL43" s="53">
        <f t="shared" si="23"/>
        <v>14400</v>
      </c>
      <c r="AM43" s="53">
        <f t="shared" ref="AM43:AM69" si="25">G43*9.4+I43*9.4+K43*9.4+M43*9.4+O43*9.4+Q43*9.4+S43*9.4+U43*9.4+W43*9.4+Y43*9.4</f>
        <v>112800</v>
      </c>
      <c r="AN43" s="53">
        <v>975</v>
      </c>
      <c r="AQ43" s="53">
        <f t="shared" si="20"/>
        <v>11280</v>
      </c>
    </row>
    <row r="44" spans="1:43">
      <c r="A44" s="98">
        <v>6103</v>
      </c>
      <c r="B44" s="107" t="s">
        <v>4</v>
      </c>
      <c r="C44" s="130"/>
      <c r="D44" s="49">
        <f>C44/C12</f>
        <v>0</v>
      </c>
      <c r="E44" s="80"/>
      <c r="F44" s="49">
        <f>E44/E12</f>
        <v>0</v>
      </c>
      <c r="G44" s="80"/>
      <c r="H44" s="49">
        <f>G44/G12</f>
        <v>0</v>
      </c>
      <c r="I44" s="130">
        <v>0</v>
      </c>
      <c r="J44" s="49">
        <f>I44/I12</f>
        <v>0</v>
      </c>
      <c r="K44" s="80">
        <v>0</v>
      </c>
      <c r="L44" s="49">
        <f>K44/K12</f>
        <v>0</v>
      </c>
      <c r="M44" s="130"/>
      <c r="N44" s="49">
        <f>M44/M12</f>
        <v>0</v>
      </c>
      <c r="O44" s="130"/>
      <c r="P44" s="49">
        <f>O44/O12</f>
        <v>0</v>
      </c>
      <c r="Q44" s="130">
        <v>0</v>
      </c>
      <c r="R44" s="49">
        <f>Q44/Q12</f>
        <v>0</v>
      </c>
      <c r="S44" s="130"/>
      <c r="T44" s="49">
        <f>S44/S12</f>
        <v>0</v>
      </c>
      <c r="U44" s="80">
        <v>0</v>
      </c>
      <c r="V44" s="49">
        <f>U44/U12</f>
        <v>0</v>
      </c>
      <c r="W44" s="80"/>
      <c r="X44" s="49">
        <f>W44/W12</f>
        <v>0</v>
      </c>
      <c r="Y44" s="80"/>
      <c r="Z44" s="168">
        <f>Y44/Y12</f>
        <v>0</v>
      </c>
      <c r="AA44" s="275">
        <f t="shared" si="24"/>
        <v>0</v>
      </c>
      <c r="AB44" s="203">
        <f>AA44/AA12</f>
        <v>0</v>
      </c>
      <c r="AC44" s="194">
        <f t="shared" si="17"/>
        <v>0</v>
      </c>
      <c r="AD44" s="203">
        <f>AC44/AC12</f>
        <v>0</v>
      </c>
      <c r="AE44" s="75"/>
      <c r="AF44" s="158"/>
      <c r="AG44" s="75"/>
      <c r="AH44" s="194">
        <v>0</v>
      </c>
      <c r="AI44" s="244">
        <f>AH44/AH12</f>
        <v>0</v>
      </c>
      <c r="AJ44" s="282">
        <f t="shared" si="1"/>
        <v>0</v>
      </c>
      <c r="AK44" s="53">
        <f t="shared" si="2"/>
        <v>0</v>
      </c>
      <c r="AL44" s="53">
        <f t="shared" si="23"/>
        <v>0</v>
      </c>
      <c r="AM44" s="53">
        <f t="shared" si="25"/>
        <v>0</v>
      </c>
      <c r="AN44" s="53"/>
      <c r="AQ44" s="53">
        <f t="shared" si="20"/>
        <v>0</v>
      </c>
    </row>
    <row r="45" spans="1:43">
      <c r="A45" s="98">
        <v>6104</v>
      </c>
      <c r="B45" s="107" t="s">
        <v>5</v>
      </c>
      <c r="C45" s="543">
        <v>250</v>
      </c>
      <c r="D45" s="49">
        <f>C45/C12</f>
        <v>2.1325664738030417E-3</v>
      </c>
      <c r="E45" s="543">
        <v>250</v>
      </c>
      <c r="F45" s="49">
        <f>E45/E12</f>
        <v>2.7410829009823271E-3</v>
      </c>
      <c r="G45" s="543">
        <v>250</v>
      </c>
      <c r="H45" s="49">
        <f>G45/G12</f>
        <v>1.6524715165765536E-3</v>
      </c>
      <c r="I45" s="543">
        <v>250</v>
      </c>
      <c r="J45" s="49">
        <f>I45/I12</f>
        <v>1.8714408235905714E-3</v>
      </c>
      <c r="K45" s="543">
        <v>250</v>
      </c>
      <c r="L45" s="49">
        <f>K45/K12</f>
        <v>2.0461808391005437E-3</v>
      </c>
      <c r="M45" s="543">
        <v>250</v>
      </c>
      <c r="N45" s="49">
        <f>M45/M12</f>
        <v>1.4430189125643497E-3</v>
      </c>
      <c r="O45" s="543">
        <v>250</v>
      </c>
      <c r="P45" s="49">
        <f>O45/O12</f>
        <v>2.2792527757548153E-3</v>
      </c>
      <c r="Q45" s="543">
        <v>250</v>
      </c>
      <c r="R45" s="49">
        <f>Q45/Q12</f>
        <v>1.8355328327355112E-3</v>
      </c>
      <c r="S45" s="543">
        <v>250</v>
      </c>
      <c r="T45" s="49">
        <f>S45/S12</f>
        <v>1.8220871491619354E-3</v>
      </c>
      <c r="U45" s="543">
        <v>250</v>
      </c>
      <c r="V45" s="49">
        <f>U45/U12</f>
        <v>2.2971156715618562E-3</v>
      </c>
      <c r="W45" s="525">
        <v>250</v>
      </c>
      <c r="X45" s="49">
        <f>W45/W12</f>
        <v>2.2577372805858346E-3</v>
      </c>
      <c r="Y45" s="525">
        <v>250</v>
      </c>
      <c r="Z45" s="168">
        <f>Y45/Y12</f>
        <v>1.4945335656232211E-3</v>
      </c>
      <c r="AA45" s="275">
        <f t="shared" si="24"/>
        <v>3000</v>
      </c>
      <c r="AB45" s="203">
        <f>AA45/AA12</f>
        <v>1.9247228159831747E-3</v>
      </c>
      <c r="AC45" s="196">
        <f t="shared" si="17"/>
        <v>250</v>
      </c>
      <c r="AD45" s="203">
        <f>AC45/AC12</f>
        <v>1.9247228159831747E-3</v>
      </c>
      <c r="AE45" s="542" t="s">
        <v>271</v>
      </c>
      <c r="AF45" s="158">
        <v>1600</v>
      </c>
      <c r="AG45" s="542" t="s">
        <v>274</v>
      </c>
      <c r="AH45" s="196">
        <v>2359.6289999999999</v>
      </c>
      <c r="AI45" s="244">
        <f>AH45/AH12</f>
        <v>2.9303783520773529E-3</v>
      </c>
      <c r="AJ45" s="282">
        <f t="shared" si="1"/>
        <v>5609.6289999999999</v>
      </c>
      <c r="AK45" s="53">
        <f t="shared" si="2"/>
        <v>0</v>
      </c>
      <c r="AL45" s="53">
        <f t="shared" si="23"/>
        <v>3000</v>
      </c>
      <c r="AM45" s="53">
        <f t="shared" si="25"/>
        <v>23500</v>
      </c>
      <c r="AN45" s="53">
        <v>143</v>
      </c>
      <c r="AQ45" s="53">
        <f t="shared" si="20"/>
        <v>2350</v>
      </c>
    </row>
    <row r="46" spans="1:43">
      <c r="A46" s="98">
        <v>6105</v>
      </c>
      <c r="B46" s="16" t="s">
        <v>40</v>
      </c>
      <c r="C46" s="558">
        <v>500</v>
      </c>
      <c r="D46" s="49">
        <f>C46/C12</f>
        <v>4.2651329476060835E-3</v>
      </c>
      <c r="E46" s="558">
        <v>500</v>
      </c>
      <c r="F46" s="49">
        <f>E46/E12</f>
        <v>5.4821658019646542E-3</v>
      </c>
      <c r="G46" s="558">
        <v>500</v>
      </c>
      <c r="H46" s="49">
        <f>G46/G12</f>
        <v>3.3049430331531073E-3</v>
      </c>
      <c r="I46" s="558">
        <v>500</v>
      </c>
      <c r="J46" s="49">
        <f>I46/I12</f>
        <v>3.7428816471811429E-3</v>
      </c>
      <c r="K46" s="558">
        <v>500</v>
      </c>
      <c r="L46" s="49">
        <f>K46/K12</f>
        <v>4.0923616782010874E-3</v>
      </c>
      <c r="M46" s="558">
        <v>500</v>
      </c>
      <c r="N46" s="49">
        <f>M46/M12</f>
        <v>2.8860378251286995E-3</v>
      </c>
      <c r="O46" s="558">
        <v>500</v>
      </c>
      <c r="P46" s="49">
        <f>O46/O12</f>
        <v>4.5585055515096305E-3</v>
      </c>
      <c r="Q46" s="558">
        <v>500</v>
      </c>
      <c r="R46" s="49">
        <f>Q46/Q$12</f>
        <v>3.6710656654710223E-3</v>
      </c>
      <c r="S46" s="558">
        <v>500</v>
      </c>
      <c r="T46" s="49">
        <f>S46/S$12</f>
        <v>3.6441742983238708E-3</v>
      </c>
      <c r="U46" s="376">
        <v>500</v>
      </c>
      <c r="V46" s="49">
        <f>U46/U$12</f>
        <v>4.5942313431237124E-3</v>
      </c>
      <c r="W46" s="376">
        <v>500</v>
      </c>
      <c r="X46" s="49">
        <f>W46/W$12</f>
        <v>4.5154745611716693E-3</v>
      </c>
      <c r="Y46" s="376">
        <v>500</v>
      </c>
      <c r="Z46" s="168">
        <f>Y46/Y12</f>
        <v>2.9890671312464423E-3</v>
      </c>
      <c r="AA46" s="275">
        <f t="shared" si="24"/>
        <v>6000</v>
      </c>
      <c r="AB46" s="203">
        <f>AA46/AA12</f>
        <v>3.8494456319663494E-3</v>
      </c>
      <c r="AC46" s="196">
        <f t="shared" si="17"/>
        <v>500</v>
      </c>
      <c r="AD46" s="203">
        <f>AC46/AC12</f>
        <v>3.8494456319663494E-3</v>
      </c>
      <c r="AE46" s="542" t="s">
        <v>271</v>
      </c>
      <c r="AF46" s="158">
        <v>2500</v>
      </c>
      <c r="AG46" s="542" t="s">
        <v>275</v>
      </c>
      <c r="AH46" s="196">
        <v>0</v>
      </c>
      <c r="AI46" s="244">
        <f>AH46/AH12</f>
        <v>0</v>
      </c>
      <c r="AJ46" s="282">
        <f t="shared" si="1"/>
        <v>6500</v>
      </c>
      <c r="AK46" s="53">
        <f t="shared" si="2"/>
        <v>0</v>
      </c>
      <c r="AL46" s="53">
        <f t="shared" si="23"/>
        <v>6000</v>
      </c>
      <c r="AM46" s="53">
        <f t="shared" si="25"/>
        <v>47000</v>
      </c>
      <c r="AN46" s="53"/>
      <c r="AQ46" s="53">
        <f t="shared" si="20"/>
        <v>4700</v>
      </c>
    </row>
    <row r="47" spans="1:43">
      <c r="A47" s="98">
        <v>6106</v>
      </c>
      <c r="B47" s="107" t="s">
        <v>7</v>
      </c>
      <c r="C47" s="23"/>
      <c r="D47" s="49">
        <f>C47/C12</f>
        <v>0</v>
      </c>
      <c r="E47" s="23"/>
      <c r="F47" s="49">
        <f>E47/E12</f>
        <v>0</v>
      </c>
      <c r="G47" s="23"/>
      <c r="H47" s="49">
        <f>G47/G12</f>
        <v>0</v>
      </c>
      <c r="I47" s="23"/>
      <c r="J47" s="49">
        <f>I47/I12</f>
        <v>0</v>
      </c>
      <c r="K47" s="23"/>
      <c r="L47" s="49">
        <f>K47/K12</f>
        <v>0</v>
      </c>
      <c r="M47" s="541">
        <v>0</v>
      </c>
      <c r="N47" s="49">
        <f>M47/M12</f>
        <v>0</v>
      </c>
      <c r="O47" s="23">
        <v>0</v>
      </c>
      <c r="P47" s="49">
        <f>O47/O12</f>
        <v>0</v>
      </c>
      <c r="Q47" s="23"/>
      <c r="R47" s="49">
        <f>Q47/Q12</f>
        <v>0</v>
      </c>
      <c r="S47" s="541">
        <v>0</v>
      </c>
      <c r="T47" s="49">
        <f>S47/S12</f>
        <v>0</v>
      </c>
      <c r="U47" s="23">
        <v>0</v>
      </c>
      <c r="V47" s="49">
        <f>U47/U12</f>
        <v>0</v>
      </c>
      <c r="W47" s="23"/>
      <c r="X47" s="49">
        <f>W47/W12</f>
        <v>0</v>
      </c>
      <c r="Y47" s="23"/>
      <c r="Z47" s="168">
        <f>Y47/Y12</f>
        <v>0</v>
      </c>
      <c r="AA47" s="275">
        <f t="shared" si="24"/>
        <v>0</v>
      </c>
      <c r="AB47" s="203">
        <f>AA47/AA12</f>
        <v>0</v>
      </c>
      <c r="AC47" s="196">
        <f t="shared" si="17"/>
        <v>0</v>
      </c>
      <c r="AD47" s="203">
        <f>AC47/AC12</f>
        <v>0</v>
      </c>
      <c r="AE47" s="75"/>
      <c r="AF47" s="158"/>
      <c r="AG47" s="75"/>
      <c r="AH47" s="196">
        <v>0</v>
      </c>
      <c r="AI47" s="244">
        <f>AH47/AH12</f>
        <v>0</v>
      </c>
      <c r="AJ47" s="282">
        <f t="shared" si="1"/>
        <v>0</v>
      </c>
      <c r="AK47" s="53">
        <f t="shared" si="2"/>
        <v>0</v>
      </c>
      <c r="AL47" s="53">
        <f t="shared" si="23"/>
        <v>0</v>
      </c>
      <c r="AM47" s="53">
        <f t="shared" si="25"/>
        <v>0</v>
      </c>
      <c r="AN47" s="53"/>
      <c r="AQ47" s="53">
        <f t="shared" si="20"/>
        <v>0</v>
      </c>
    </row>
    <row r="48" spans="1:43">
      <c r="A48" s="98">
        <v>6107</v>
      </c>
      <c r="B48" s="107" t="s">
        <v>8</v>
      </c>
      <c r="C48" s="23"/>
      <c r="D48" s="49">
        <f>C48/C12</f>
        <v>0</v>
      </c>
      <c r="E48" s="23"/>
      <c r="F48" s="49">
        <f>E48/E12</f>
        <v>0</v>
      </c>
      <c r="G48" s="23"/>
      <c r="H48" s="49">
        <f>G48/G12</f>
        <v>0</v>
      </c>
      <c r="I48" s="23"/>
      <c r="J48" s="49">
        <f>I48/I12</f>
        <v>0</v>
      </c>
      <c r="K48" s="23"/>
      <c r="L48" s="49">
        <f>K48/K12</f>
        <v>0</v>
      </c>
      <c r="M48" s="23">
        <v>0</v>
      </c>
      <c r="N48" s="49">
        <f>M48/M12</f>
        <v>0</v>
      </c>
      <c r="O48" s="23">
        <v>0</v>
      </c>
      <c r="P48" s="49">
        <f>O48/O12</f>
        <v>0</v>
      </c>
      <c r="Q48" s="23"/>
      <c r="R48" s="49">
        <f>Q48/Q12</f>
        <v>0</v>
      </c>
      <c r="S48" s="23"/>
      <c r="T48" s="49">
        <f>S48/S12</f>
        <v>0</v>
      </c>
      <c r="U48" s="23"/>
      <c r="V48" s="49">
        <f>U48/U12</f>
        <v>0</v>
      </c>
      <c r="W48" s="23"/>
      <c r="X48" s="49">
        <f>W48/W12</f>
        <v>0</v>
      </c>
      <c r="Y48" s="23"/>
      <c r="Z48" s="168">
        <f>Y48/Y12</f>
        <v>0</v>
      </c>
      <c r="AA48" s="275">
        <f t="shared" si="24"/>
        <v>0</v>
      </c>
      <c r="AB48" s="203">
        <f>AA48/AA12</f>
        <v>0</v>
      </c>
      <c r="AC48" s="196">
        <f t="shared" si="17"/>
        <v>0</v>
      </c>
      <c r="AD48" s="203">
        <f>AC48/AC12</f>
        <v>0</v>
      </c>
      <c r="AE48" s="75"/>
      <c r="AF48" s="158"/>
      <c r="AG48" s="75"/>
      <c r="AH48" s="196">
        <v>0</v>
      </c>
      <c r="AI48" s="244">
        <f>AH48/AH12</f>
        <v>0</v>
      </c>
      <c r="AJ48" s="282">
        <f t="shared" si="1"/>
        <v>0</v>
      </c>
      <c r="AK48" s="53">
        <f t="shared" si="2"/>
        <v>0</v>
      </c>
      <c r="AL48" s="53">
        <f t="shared" si="23"/>
        <v>0</v>
      </c>
      <c r="AM48" s="53">
        <f t="shared" si="25"/>
        <v>0</v>
      </c>
      <c r="AN48" s="53"/>
      <c r="AQ48" s="53">
        <f t="shared" si="20"/>
        <v>0</v>
      </c>
    </row>
    <row r="49" spans="1:45">
      <c r="A49" s="98">
        <v>6108</v>
      </c>
      <c r="B49" s="107" t="s">
        <v>9</v>
      </c>
      <c r="C49" s="23"/>
      <c r="D49" s="49">
        <f>C49/C12</f>
        <v>0</v>
      </c>
      <c r="E49" s="23"/>
      <c r="F49" s="49">
        <f>E49/E12</f>
        <v>0</v>
      </c>
      <c r="G49" s="23"/>
      <c r="H49" s="49">
        <f>G49/G12</f>
        <v>0</v>
      </c>
      <c r="I49" s="23">
        <v>0</v>
      </c>
      <c r="J49" s="49">
        <f>I49/I12</f>
        <v>0</v>
      </c>
      <c r="K49" s="23">
        <v>0</v>
      </c>
      <c r="L49" s="49">
        <f>K49/K12</f>
        <v>0</v>
      </c>
      <c r="M49" s="23"/>
      <c r="N49" s="49">
        <f>M49/M12</f>
        <v>0</v>
      </c>
      <c r="O49" s="23"/>
      <c r="P49" s="49">
        <f>O49/O12</f>
        <v>0</v>
      </c>
      <c r="Q49" s="23"/>
      <c r="R49" s="49">
        <f>Q49/Q12</f>
        <v>0</v>
      </c>
      <c r="S49" s="23"/>
      <c r="T49" s="49">
        <f>S49/S12</f>
        <v>0</v>
      </c>
      <c r="U49" s="23"/>
      <c r="V49" s="49">
        <f>U49/U12</f>
        <v>0</v>
      </c>
      <c r="W49" s="23"/>
      <c r="X49" s="49">
        <f>W49/W12</f>
        <v>0</v>
      </c>
      <c r="Y49" s="23"/>
      <c r="Z49" s="168">
        <f>Y49/Y12</f>
        <v>0</v>
      </c>
      <c r="AA49" s="275">
        <f t="shared" si="24"/>
        <v>0</v>
      </c>
      <c r="AB49" s="203">
        <f>AA49/AA12</f>
        <v>0</v>
      </c>
      <c r="AC49" s="196">
        <f t="shared" si="17"/>
        <v>0</v>
      </c>
      <c r="AD49" s="203">
        <f>AC49/AC12</f>
        <v>0</v>
      </c>
      <c r="AE49" s="75"/>
      <c r="AF49" s="158"/>
      <c r="AG49" s="75"/>
      <c r="AH49" s="196">
        <v>0</v>
      </c>
      <c r="AI49" s="244">
        <f>AH49/AH12</f>
        <v>0</v>
      </c>
      <c r="AJ49" s="282">
        <f t="shared" si="1"/>
        <v>0</v>
      </c>
      <c r="AK49" s="53">
        <f t="shared" si="2"/>
        <v>0</v>
      </c>
      <c r="AL49" s="53">
        <f t="shared" si="23"/>
        <v>0</v>
      </c>
      <c r="AM49" s="53">
        <f t="shared" si="25"/>
        <v>0</v>
      </c>
      <c r="AN49" s="53"/>
      <c r="AQ49" s="53">
        <f t="shared" si="20"/>
        <v>0</v>
      </c>
    </row>
    <row r="50" spans="1:45">
      <c r="A50" s="98">
        <v>6109</v>
      </c>
      <c r="B50" s="107" t="s">
        <v>79</v>
      </c>
      <c r="C50" s="134"/>
      <c r="D50" s="49">
        <f>C50/C12</f>
        <v>0</v>
      </c>
      <c r="E50" s="134"/>
      <c r="F50" s="49">
        <f>E50/E12</f>
        <v>0</v>
      </c>
      <c r="G50" s="134"/>
      <c r="H50" s="49">
        <f>G50/G12</f>
        <v>0</v>
      </c>
      <c r="I50" s="134">
        <v>0</v>
      </c>
      <c r="J50" s="49">
        <f>I50/I12</f>
        <v>0</v>
      </c>
      <c r="K50" s="134"/>
      <c r="L50" s="49">
        <f>K50/K12</f>
        <v>0</v>
      </c>
      <c r="M50" s="134"/>
      <c r="N50" s="49">
        <f>M50/M12</f>
        <v>0</v>
      </c>
      <c r="O50" s="134"/>
      <c r="P50" s="49">
        <f>O50/O12</f>
        <v>0</v>
      </c>
      <c r="Q50" s="134"/>
      <c r="R50" s="49">
        <f>Q50/Q12</f>
        <v>0</v>
      </c>
      <c r="S50" s="134"/>
      <c r="T50" s="49">
        <f>S50/S12</f>
        <v>0</v>
      </c>
      <c r="U50" s="134"/>
      <c r="V50" s="49">
        <f>U50/U12</f>
        <v>0</v>
      </c>
      <c r="W50" s="134"/>
      <c r="X50" s="49">
        <f>W50/W12</f>
        <v>0</v>
      </c>
      <c r="Y50" s="134"/>
      <c r="Z50" s="168">
        <f>Y50/Y12</f>
        <v>0</v>
      </c>
      <c r="AA50" s="275">
        <f t="shared" si="24"/>
        <v>0</v>
      </c>
      <c r="AB50" s="203">
        <f>AA50/AA12</f>
        <v>0</v>
      </c>
      <c r="AC50" s="196">
        <f t="shared" si="17"/>
        <v>0</v>
      </c>
      <c r="AD50" s="203">
        <f>AC50/AC12</f>
        <v>0</v>
      </c>
      <c r="AE50" s="75"/>
      <c r="AF50" s="158"/>
      <c r="AG50" s="75"/>
      <c r="AH50" s="196">
        <v>0</v>
      </c>
      <c r="AI50" s="244">
        <f>AH50/AH12</f>
        <v>0</v>
      </c>
      <c r="AJ50" s="282">
        <f t="shared" si="1"/>
        <v>0</v>
      </c>
      <c r="AK50" s="53">
        <f t="shared" si="2"/>
        <v>0</v>
      </c>
      <c r="AL50" s="53">
        <f t="shared" si="23"/>
        <v>0</v>
      </c>
      <c r="AM50" s="53">
        <f t="shared" si="25"/>
        <v>0</v>
      </c>
      <c r="AN50" s="53"/>
      <c r="AQ50" s="53">
        <f t="shared" si="20"/>
        <v>0</v>
      </c>
    </row>
    <row r="51" spans="1:45">
      <c r="A51" s="98">
        <v>6110</v>
      </c>
      <c r="B51" s="107" t="s">
        <v>10</v>
      </c>
      <c r="C51" s="541">
        <v>40</v>
      </c>
      <c r="D51" s="49">
        <f>C127/C12</f>
        <v>4.2651329476060834E-4</v>
      </c>
      <c r="E51" s="541">
        <v>40</v>
      </c>
      <c r="F51" s="49">
        <f>E127/E12</f>
        <v>5.4821658019646544E-4</v>
      </c>
      <c r="G51" s="541">
        <v>40</v>
      </c>
      <c r="H51" s="49">
        <f>G127/G12</f>
        <v>3.3049430331531072E-4</v>
      </c>
      <c r="I51" s="541">
        <v>40</v>
      </c>
      <c r="J51" s="49">
        <f>I127/I12</f>
        <v>3.7428816471811428E-4</v>
      </c>
      <c r="K51" s="541">
        <v>40</v>
      </c>
      <c r="L51" s="49">
        <f>K127/K12</f>
        <v>4.0923616782010877E-4</v>
      </c>
      <c r="M51" s="541">
        <v>40</v>
      </c>
      <c r="N51" s="49">
        <f>M127/M12</f>
        <v>2.8860378251286995E-4</v>
      </c>
      <c r="O51" s="541">
        <v>40</v>
      </c>
      <c r="P51" s="49">
        <f>O127/O12</f>
        <v>4.5585055515096306E-4</v>
      </c>
      <c r="Q51" s="541">
        <v>40</v>
      </c>
      <c r="R51" s="491">
        <f>Q127/Q12</f>
        <v>3.6710656654710222E-4</v>
      </c>
      <c r="S51" s="541">
        <v>40</v>
      </c>
      <c r="T51" s="49">
        <f>S127/S12</f>
        <v>3.6441742983238709E-4</v>
      </c>
      <c r="U51" s="495">
        <v>40</v>
      </c>
      <c r="V51" s="49">
        <f>U127/U12</f>
        <v>4.5942313431237127E-4</v>
      </c>
      <c r="W51" s="499">
        <v>40</v>
      </c>
      <c r="X51" s="49">
        <f>W127/W12</f>
        <v>4.5154745611716688E-4</v>
      </c>
      <c r="Y51" s="504">
        <v>40</v>
      </c>
      <c r="Z51" s="168">
        <f>Y51/Y$12</f>
        <v>2.3912537049971538E-4</v>
      </c>
      <c r="AA51" s="275">
        <f t="shared" si="24"/>
        <v>480</v>
      </c>
      <c r="AB51" s="203">
        <f>AA51/AA12</f>
        <v>3.0795565055730795E-4</v>
      </c>
      <c r="AC51" s="196">
        <f t="shared" si="17"/>
        <v>40</v>
      </c>
      <c r="AD51" s="203">
        <f>AC51/AC12</f>
        <v>3.0795565055730795E-4</v>
      </c>
      <c r="AE51" s="75"/>
      <c r="AF51" s="158"/>
      <c r="AG51" s="75"/>
      <c r="AH51" s="196">
        <v>600</v>
      </c>
      <c r="AI51" s="244">
        <f>AH51/AH12</f>
        <v>7.4512858218237356E-4</v>
      </c>
      <c r="AJ51" s="282">
        <f t="shared" si="1"/>
        <v>1120</v>
      </c>
      <c r="AK51" s="53">
        <f t="shared" si="2"/>
        <v>0</v>
      </c>
      <c r="AL51" s="53">
        <f t="shared" si="23"/>
        <v>480</v>
      </c>
      <c r="AM51" s="53">
        <f t="shared" si="25"/>
        <v>3760</v>
      </c>
      <c r="AN51" s="53">
        <v>30.19</v>
      </c>
      <c r="AQ51" s="53">
        <f t="shared" si="20"/>
        <v>376</v>
      </c>
    </row>
    <row r="52" spans="1:45">
      <c r="A52" s="98">
        <v>6111</v>
      </c>
      <c r="B52" s="107" t="s">
        <v>11</v>
      </c>
      <c r="C52" s="476"/>
      <c r="D52" s="49">
        <f>C52/C12</f>
        <v>0</v>
      </c>
      <c r="E52" s="478"/>
      <c r="F52" s="49">
        <f>E52/E12</f>
        <v>0</v>
      </c>
      <c r="G52" s="480"/>
      <c r="H52" s="49">
        <f>G52/G12</f>
        <v>0</v>
      </c>
      <c r="I52" s="482"/>
      <c r="J52" s="49">
        <f>I52/I12</f>
        <v>0</v>
      </c>
      <c r="K52" s="484"/>
      <c r="L52" s="49">
        <f>K52/K12</f>
        <v>0</v>
      </c>
      <c r="M52" s="486"/>
      <c r="N52" s="49">
        <f>M52/M12</f>
        <v>0</v>
      </c>
      <c r="O52" s="488"/>
      <c r="P52" s="49">
        <f>O52/O12</f>
        <v>0</v>
      </c>
      <c r="Q52" s="492"/>
      <c r="R52" s="491">
        <f>Q52/Q12</f>
        <v>0</v>
      </c>
      <c r="S52" s="494"/>
      <c r="T52" s="49">
        <f>S52/S12</f>
        <v>0</v>
      </c>
      <c r="U52" s="498"/>
      <c r="V52" s="49">
        <f>U52/U12</f>
        <v>0</v>
      </c>
      <c r="W52" s="502"/>
      <c r="X52" s="49">
        <f>W52/W12</f>
        <v>0</v>
      </c>
      <c r="Y52" s="507"/>
      <c r="Z52" s="168">
        <f>Y52/Y12</f>
        <v>0</v>
      </c>
      <c r="AA52" s="275">
        <f t="shared" si="24"/>
        <v>0</v>
      </c>
      <c r="AB52" s="203">
        <f>AA52/AA12</f>
        <v>0</v>
      </c>
      <c r="AC52" s="194">
        <f t="shared" si="17"/>
        <v>0</v>
      </c>
      <c r="AD52" s="203">
        <f>AC52/AC12</f>
        <v>0</v>
      </c>
      <c r="AE52" s="75"/>
      <c r="AF52" s="158"/>
      <c r="AG52" s="75"/>
      <c r="AH52" s="194">
        <v>0</v>
      </c>
      <c r="AI52" s="244">
        <f>AH52/AH12</f>
        <v>0</v>
      </c>
      <c r="AJ52" s="282">
        <f t="shared" si="1"/>
        <v>0</v>
      </c>
      <c r="AK52" s="53">
        <f t="shared" si="2"/>
        <v>0</v>
      </c>
      <c r="AL52" s="53">
        <f t="shared" si="23"/>
        <v>0</v>
      </c>
      <c r="AM52" s="53">
        <f t="shared" si="25"/>
        <v>0</v>
      </c>
      <c r="AN52" s="53"/>
      <c r="AQ52" s="53">
        <f t="shared" si="20"/>
        <v>0</v>
      </c>
    </row>
    <row r="53" spans="1:45">
      <c r="A53" s="98">
        <v>6112</v>
      </c>
      <c r="B53" s="107" t="s">
        <v>12</v>
      </c>
      <c r="C53" s="524">
        <f>430*1.05</f>
        <v>451.5</v>
      </c>
      <c r="D53" s="49">
        <f>C53/C12</f>
        <v>3.8514150516882934E-3</v>
      </c>
      <c r="E53" s="524">
        <f>430*1.05</f>
        <v>451.5</v>
      </c>
      <c r="F53" s="49">
        <f>E53/E12</f>
        <v>4.9503957191740829E-3</v>
      </c>
      <c r="G53" s="524">
        <f>430*1.05</f>
        <v>451.5</v>
      </c>
      <c r="H53" s="49">
        <f>G53/G12</f>
        <v>2.9843635589372557E-3</v>
      </c>
      <c r="I53" s="524">
        <f>430*1.05</f>
        <v>451.5</v>
      </c>
      <c r="J53" s="49">
        <f>I53/I12</f>
        <v>3.3798221274045719E-3</v>
      </c>
      <c r="K53" s="524">
        <f>430*1.05</f>
        <v>451.5</v>
      </c>
      <c r="L53" s="49">
        <f>K53/K12</f>
        <v>3.6954025954155823E-3</v>
      </c>
      <c r="M53" s="524">
        <f>430*1.05</f>
        <v>451.5</v>
      </c>
      <c r="N53" s="49">
        <f>M53/M12</f>
        <v>2.6060921560912154E-3</v>
      </c>
      <c r="O53" s="524">
        <f>430*1.05</f>
        <v>451.5</v>
      </c>
      <c r="P53" s="49">
        <f>O53/O12</f>
        <v>4.1163305130131967E-3</v>
      </c>
      <c r="Q53" s="524">
        <f>430*1.05</f>
        <v>451.5</v>
      </c>
      <c r="R53" s="491">
        <f>Q53/Q12</f>
        <v>3.3149722959203332E-3</v>
      </c>
      <c r="S53" s="524">
        <f>430*1.05</f>
        <v>451.5</v>
      </c>
      <c r="T53" s="49">
        <f>S53/S12</f>
        <v>3.2906893913864552E-3</v>
      </c>
      <c r="U53" s="524">
        <f>430*1.05</f>
        <v>451.5</v>
      </c>
      <c r="V53" s="49">
        <f>U53/U12</f>
        <v>4.1485909028407125E-3</v>
      </c>
      <c r="W53" s="524">
        <f>430*1.05</f>
        <v>451.5</v>
      </c>
      <c r="X53" s="49">
        <f>W53/W12</f>
        <v>4.0774735287380168E-3</v>
      </c>
      <c r="Y53" s="524">
        <f>430*1.05</f>
        <v>451.5</v>
      </c>
      <c r="Z53" s="168">
        <f>Y53/Y12</f>
        <v>2.6991276195155373E-3</v>
      </c>
      <c r="AA53" s="275">
        <f t="shared" si="24"/>
        <v>5418</v>
      </c>
      <c r="AB53" s="203">
        <f>AA53/AA12</f>
        <v>3.4760494056656137E-3</v>
      </c>
      <c r="AC53" s="194">
        <f t="shared" si="17"/>
        <v>451.5</v>
      </c>
      <c r="AD53" s="203">
        <f>AC53/AC12</f>
        <v>3.4760494056656137E-3</v>
      </c>
      <c r="AE53" s="542" t="s">
        <v>276</v>
      </c>
      <c r="AF53" s="158" t="s">
        <v>277</v>
      </c>
      <c r="AG53" s="75"/>
      <c r="AH53" s="194">
        <v>5160</v>
      </c>
      <c r="AI53" s="244">
        <f>AH53/AH12</f>
        <v>6.4081058067684124E-3</v>
      </c>
      <c r="AJ53" s="282">
        <f t="shared" si="1"/>
        <v>11029.5</v>
      </c>
      <c r="AK53" s="53">
        <f t="shared" si="2"/>
        <v>0</v>
      </c>
      <c r="AL53" s="53">
        <f t="shared" si="23"/>
        <v>5418</v>
      </c>
      <c r="AM53" s="53">
        <f t="shared" si="25"/>
        <v>42440.999999999993</v>
      </c>
      <c r="AN53" s="53" t="s">
        <v>210</v>
      </c>
      <c r="AO53" s="305" t="s">
        <v>225</v>
      </c>
      <c r="AQ53" s="53">
        <f t="shared" si="20"/>
        <v>4244.1000000000004</v>
      </c>
    </row>
    <row r="54" spans="1:45">
      <c r="A54" s="98">
        <v>6113</v>
      </c>
      <c r="B54" s="107" t="s">
        <v>13</v>
      </c>
      <c r="C54" s="475"/>
      <c r="D54" s="49">
        <f>C54/C12</f>
        <v>0</v>
      </c>
      <c r="E54" s="477"/>
      <c r="F54" s="49">
        <f>E54/E12</f>
        <v>0</v>
      </c>
      <c r="G54" s="479"/>
      <c r="H54" s="49">
        <f>G54/G12</f>
        <v>0</v>
      </c>
      <c r="I54" s="481"/>
      <c r="J54" s="49">
        <f>I54/I12</f>
        <v>0</v>
      </c>
      <c r="K54" s="483"/>
      <c r="L54" s="49">
        <f>K54/K12</f>
        <v>0</v>
      </c>
      <c r="M54" s="485"/>
      <c r="N54" s="49">
        <f>M54/M12</f>
        <v>0</v>
      </c>
      <c r="O54" s="487"/>
      <c r="P54" s="49">
        <f>O54/O12</f>
        <v>0</v>
      </c>
      <c r="Q54" s="490"/>
      <c r="R54" s="491">
        <f>Q54/Q12</f>
        <v>0</v>
      </c>
      <c r="S54" s="493"/>
      <c r="T54" s="49">
        <f>S54/S12</f>
        <v>0</v>
      </c>
      <c r="U54" s="496"/>
      <c r="V54" s="49">
        <f>U54/U12</f>
        <v>0</v>
      </c>
      <c r="W54" s="500"/>
      <c r="X54" s="49">
        <f>W54/W12</f>
        <v>0</v>
      </c>
      <c r="Y54" s="505"/>
      <c r="Z54" s="168">
        <f>Y54/Y12</f>
        <v>0</v>
      </c>
      <c r="AA54" s="275">
        <f t="shared" si="24"/>
        <v>0</v>
      </c>
      <c r="AB54" s="203">
        <f>AA54/AA12</f>
        <v>0</v>
      </c>
      <c r="AC54" s="194">
        <f t="shared" si="17"/>
        <v>0</v>
      </c>
      <c r="AD54" s="203">
        <f>AC54/AC12</f>
        <v>0</v>
      </c>
      <c r="AE54" s="75"/>
      <c r="AF54" s="158"/>
      <c r="AG54" s="75"/>
      <c r="AH54" s="194">
        <v>0</v>
      </c>
      <c r="AI54" s="244">
        <f>AH54/AH12</f>
        <v>0</v>
      </c>
      <c r="AJ54" s="282">
        <f t="shared" si="1"/>
        <v>0</v>
      </c>
      <c r="AK54" s="53">
        <f t="shared" si="2"/>
        <v>0</v>
      </c>
      <c r="AL54" s="53">
        <f t="shared" si="23"/>
        <v>0</v>
      </c>
      <c r="AM54" s="53">
        <f t="shared" si="25"/>
        <v>0</v>
      </c>
      <c r="AN54" s="53"/>
      <c r="AQ54" s="53">
        <f t="shared" si="20"/>
        <v>0</v>
      </c>
    </row>
    <row r="55" spans="1:45">
      <c r="A55" s="98">
        <v>6114</v>
      </c>
      <c r="B55" s="107" t="s">
        <v>88</v>
      </c>
      <c r="C55" s="541">
        <v>350</v>
      </c>
      <c r="D55" s="49">
        <f>C55/C12</f>
        <v>2.9855930633242581E-3</v>
      </c>
      <c r="E55" s="541">
        <v>350</v>
      </c>
      <c r="F55" s="49">
        <f>E55/E12</f>
        <v>3.8375160613752582E-3</v>
      </c>
      <c r="G55" s="541">
        <v>350</v>
      </c>
      <c r="H55" s="49">
        <f>G55/G12</f>
        <v>2.3134601232071752E-3</v>
      </c>
      <c r="I55" s="541">
        <v>350</v>
      </c>
      <c r="J55" s="49">
        <f>I55/I12</f>
        <v>2.6200171530268001E-3</v>
      </c>
      <c r="K55" s="541">
        <v>350</v>
      </c>
      <c r="L55" s="49">
        <f>K55/K12</f>
        <v>2.8646531747407613E-3</v>
      </c>
      <c r="M55" s="541">
        <v>350</v>
      </c>
      <c r="N55" s="49">
        <f>M55/M12</f>
        <v>2.0202264775900898E-3</v>
      </c>
      <c r="O55" s="541">
        <v>350</v>
      </c>
      <c r="P55" s="49">
        <f>O55/O12</f>
        <v>3.1909538860567413E-3</v>
      </c>
      <c r="Q55" s="541">
        <v>350</v>
      </c>
      <c r="R55" s="491">
        <f>Q55/Q12</f>
        <v>2.5697459658297157E-3</v>
      </c>
      <c r="S55" s="541">
        <v>350</v>
      </c>
      <c r="T55" s="49">
        <f>S55/S12</f>
        <v>2.5509220088267095E-3</v>
      </c>
      <c r="U55" s="519">
        <v>350</v>
      </c>
      <c r="V55" s="49">
        <f>U55/U12</f>
        <v>3.2159619401865985E-3</v>
      </c>
      <c r="W55" s="519">
        <v>350</v>
      </c>
      <c r="X55" s="49">
        <f>W55/W12</f>
        <v>3.1608321928201684E-3</v>
      </c>
      <c r="Y55" s="519">
        <v>350</v>
      </c>
      <c r="Z55" s="168">
        <f>Y55/Y12</f>
        <v>2.0923469918725096E-3</v>
      </c>
      <c r="AA55" s="275">
        <f t="shared" si="24"/>
        <v>4200</v>
      </c>
      <c r="AB55" s="203">
        <f>AA55/AA12</f>
        <v>2.6946119423764446E-3</v>
      </c>
      <c r="AC55" s="196">
        <f t="shared" si="17"/>
        <v>350</v>
      </c>
      <c r="AD55" s="203">
        <f>AC55/AC12</f>
        <v>2.6946119423764446E-3</v>
      </c>
      <c r="AE55" s="75"/>
      <c r="AF55" s="158"/>
      <c r="AG55" s="542" t="s">
        <v>278</v>
      </c>
      <c r="AH55" s="196">
        <v>2750</v>
      </c>
      <c r="AI55" s="244">
        <f>AH55/AH12</f>
        <v>3.4151726683358786E-3</v>
      </c>
      <c r="AJ55" s="282">
        <f t="shared" si="1"/>
        <v>7300</v>
      </c>
      <c r="AK55" s="53">
        <f t="shared" si="2"/>
        <v>0</v>
      </c>
      <c r="AL55" s="53">
        <f t="shared" si="23"/>
        <v>4200</v>
      </c>
      <c r="AM55" s="53">
        <f t="shared" si="25"/>
        <v>32900</v>
      </c>
      <c r="AN55" s="53">
        <v>37</v>
      </c>
      <c r="AQ55" s="53">
        <f t="shared" si="20"/>
        <v>3290</v>
      </c>
    </row>
    <row r="56" spans="1:45">
      <c r="A56" s="98">
        <v>6115</v>
      </c>
      <c r="B56" s="107" t="s">
        <v>14</v>
      </c>
      <c r="C56" s="522">
        <v>75</v>
      </c>
      <c r="D56" s="17">
        <f>C56/C12</f>
        <v>6.3976994214091248E-4</v>
      </c>
      <c r="E56" s="522">
        <v>75</v>
      </c>
      <c r="F56" s="17">
        <f>E56/E12</f>
        <v>8.2232487029469821E-4</v>
      </c>
      <c r="G56" s="522">
        <v>75</v>
      </c>
      <c r="H56" s="17">
        <f>G56/G12</f>
        <v>4.9574145497296605E-4</v>
      </c>
      <c r="I56" s="522">
        <v>75</v>
      </c>
      <c r="J56" s="17">
        <f>I56/I12</f>
        <v>5.6143224707717139E-4</v>
      </c>
      <c r="K56" s="522">
        <v>75</v>
      </c>
      <c r="L56" s="17">
        <f>K56/K12</f>
        <v>6.1385425173016313E-4</v>
      </c>
      <c r="M56" s="522">
        <v>75</v>
      </c>
      <c r="N56" s="17">
        <f>M56/M12</f>
        <v>4.3290567376930492E-4</v>
      </c>
      <c r="O56" s="522">
        <v>75</v>
      </c>
      <c r="P56" s="17">
        <f>O56/O12</f>
        <v>6.8377583272644462E-4</v>
      </c>
      <c r="Q56" s="522">
        <v>75</v>
      </c>
      <c r="R56" s="489">
        <f>Q56/Q12</f>
        <v>5.506598498206533E-4</v>
      </c>
      <c r="S56" s="522">
        <v>75</v>
      </c>
      <c r="T56" s="17">
        <f>S56/S12</f>
        <v>5.4662614474858067E-4</v>
      </c>
      <c r="U56" s="497">
        <v>75</v>
      </c>
      <c r="V56" s="17">
        <f>U56/U12</f>
        <v>6.8913470146855684E-4</v>
      </c>
      <c r="W56" s="501">
        <v>75</v>
      </c>
      <c r="X56" s="17">
        <f>W56/W12</f>
        <v>6.7732118417575032E-4</v>
      </c>
      <c r="Y56" s="506">
        <v>75</v>
      </c>
      <c r="Z56" s="215">
        <f>Y56/Y12</f>
        <v>4.4836006968696629E-4</v>
      </c>
      <c r="AA56" s="275">
        <f t="shared" si="24"/>
        <v>900</v>
      </c>
      <c r="AB56" s="203">
        <f>AA56/AA12</f>
        <v>5.7741684479495239E-4</v>
      </c>
      <c r="AC56" s="196">
        <f t="shared" si="17"/>
        <v>75</v>
      </c>
      <c r="AD56" s="203">
        <f>AC56/AC12</f>
        <v>5.7741684479495239E-4</v>
      </c>
      <c r="AE56" s="75"/>
      <c r="AF56" s="158"/>
      <c r="AG56" s="75"/>
      <c r="AH56" s="196">
        <v>900</v>
      </c>
      <c r="AI56" s="244">
        <f>AH56/AH12</f>
        <v>1.1176928732735602E-3</v>
      </c>
      <c r="AJ56" s="282">
        <f t="shared" si="1"/>
        <v>1875</v>
      </c>
      <c r="AK56" s="53">
        <f t="shared" si="2"/>
        <v>0</v>
      </c>
      <c r="AL56" s="53">
        <f t="shared" si="23"/>
        <v>900</v>
      </c>
      <c r="AM56" s="53">
        <f t="shared" si="25"/>
        <v>7050</v>
      </c>
      <c r="AN56" s="53">
        <v>40.15</v>
      </c>
      <c r="AQ56" s="53">
        <f t="shared" si="20"/>
        <v>705</v>
      </c>
    </row>
    <row r="57" spans="1:45">
      <c r="A57" s="98">
        <v>6116</v>
      </c>
      <c r="B57" s="107" t="s">
        <v>15</v>
      </c>
      <c r="C57" s="559">
        <v>150</v>
      </c>
      <c r="D57" s="49">
        <f>C57/C12</f>
        <v>1.279539884281825E-3</v>
      </c>
      <c r="E57" s="559">
        <v>150</v>
      </c>
      <c r="F57" s="49">
        <f>E57/E12</f>
        <v>1.6446497405893964E-3</v>
      </c>
      <c r="G57" s="559">
        <v>150</v>
      </c>
      <c r="H57" s="49">
        <f>G57/G12</f>
        <v>9.914829099459321E-4</v>
      </c>
      <c r="I57" s="559">
        <v>150</v>
      </c>
      <c r="J57" s="49">
        <f>I57/I12</f>
        <v>1.1228644941543428E-3</v>
      </c>
      <c r="K57" s="559">
        <v>150</v>
      </c>
      <c r="L57" s="49">
        <f>K57/K12</f>
        <v>1.2277085034603263E-3</v>
      </c>
      <c r="M57" s="559">
        <v>150</v>
      </c>
      <c r="N57" s="49">
        <f>M57/M12</f>
        <v>8.6581134753860984E-4</v>
      </c>
      <c r="O57" s="559">
        <v>150</v>
      </c>
      <c r="P57" s="49">
        <f>O57/O12</f>
        <v>1.3675516654528892E-3</v>
      </c>
      <c r="Q57" s="559">
        <v>150</v>
      </c>
      <c r="R57" s="491">
        <f>Q57/Q12</f>
        <v>1.1013196996413066E-3</v>
      </c>
      <c r="S57" s="559">
        <v>150</v>
      </c>
      <c r="T57" s="49">
        <f>S57/S12</f>
        <v>1.0932522894971613E-3</v>
      </c>
      <c r="U57" s="508">
        <v>150</v>
      </c>
      <c r="V57" s="49">
        <f>U57/U12</f>
        <v>1.3782694029371137E-3</v>
      </c>
      <c r="W57" s="508">
        <v>150</v>
      </c>
      <c r="X57" s="49">
        <f>W57/W12</f>
        <v>1.3546423683515006E-3</v>
      </c>
      <c r="Y57" s="508">
        <v>150</v>
      </c>
      <c r="Z57" s="168">
        <f>Y57/Y12</f>
        <v>8.9672013937393258E-4</v>
      </c>
      <c r="AA57" s="275">
        <f t="shared" si="24"/>
        <v>1800</v>
      </c>
      <c r="AB57" s="203">
        <f>AA57/AA12</f>
        <v>1.1548336895899048E-3</v>
      </c>
      <c r="AC57" s="196">
        <f t="shared" si="17"/>
        <v>150</v>
      </c>
      <c r="AD57" s="203">
        <f>AC57/AC12</f>
        <v>1.1548336895899048E-3</v>
      </c>
      <c r="AE57" s="75"/>
      <c r="AF57" s="158"/>
      <c r="AG57" s="75"/>
      <c r="AH57" s="196">
        <v>1200</v>
      </c>
      <c r="AI57" s="244">
        <f>AH57/AH12</f>
        <v>1.4902571643647471E-3</v>
      </c>
      <c r="AJ57" s="282">
        <f t="shared" si="1"/>
        <v>3150</v>
      </c>
      <c r="AK57" s="53">
        <f t="shared" si="2"/>
        <v>0</v>
      </c>
      <c r="AL57" s="53">
        <f t="shared" si="23"/>
        <v>1800</v>
      </c>
      <c r="AM57" s="53">
        <f t="shared" si="25"/>
        <v>14100</v>
      </c>
      <c r="AN57" s="53" t="s">
        <v>226</v>
      </c>
      <c r="AQ57" s="53">
        <f t="shared" si="20"/>
        <v>1410</v>
      </c>
      <c r="AR57" s="411"/>
      <c r="AS57" s="309"/>
    </row>
    <row r="58" spans="1:45">
      <c r="A58" s="98">
        <v>6117</v>
      </c>
      <c r="B58" s="107" t="s">
        <v>16</v>
      </c>
      <c r="C58" s="130"/>
      <c r="D58" s="49">
        <f>C58/C12</f>
        <v>0</v>
      </c>
      <c r="E58" s="43"/>
      <c r="F58" s="49">
        <f>E58/E12</f>
        <v>0</v>
      </c>
      <c r="G58" s="80"/>
      <c r="H58" s="49">
        <f>G58/G12</f>
        <v>0</v>
      </c>
      <c r="I58" s="18"/>
      <c r="J58" s="49">
        <f>I58/I12</f>
        <v>0</v>
      </c>
      <c r="K58" s="43">
        <v>0</v>
      </c>
      <c r="L58" s="49">
        <f>K58/K12</f>
        <v>0</v>
      </c>
      <c r="M58" s="18"/>
      <c r="N58" s="49">
        <f>M58/M12</f>
        <v>0</v>
      </c>
      <c r="O58" s="18"/>
      <c r="P58" s="49">
        <f>O58/O12</f>
        <v>0</v>
      </c>
      <c r="Q58" s="18"/>
      <c r="R58" s="49">
        <f>Q58/Q12</f>
        <v>0</v>
      </c>
      <c r="S58" s="18"/>
      <c r="T58" s="49">
        <f>S58/S12</f>
        <v>0</v>
      </c>
      <c r="U58" s="43"/>
      <c r="V58" s="49">
        <f>U58/U12</f>
        <v>0</v>
      </c>
      <c r="W58" s="33"/>
      <c r="X58" s="49">
        <f>W58/W12</f>
        <v>0</v>
      </c>
      <c r="Y58" s="43"/>
      <c r="Z58" s="168">
        <f>Y58/Y12</f>
        <v>0</v>
      </c>
      <c r="AA58" s="275">
        <f t="shared" si="24"/>
        <v>0</v>
      </c>
      <c r="AB58" s="203">
        <f>AA58/AA12</f>
        <v>0</v>
      </c>
      <c r="AC58" s="194">
        <f t="shared" si="17"/>
        <v>0</v>
      </c>
      <c r="AD58" s="203">
        <f>AC58/AC12</f>
        <v>0</v>
      </c>
      <c r="AE58" s="75"/>
      <c r="AF58" s="158"/>
      <c r="AG58" s="75"/>
      <c r="AH58" s="194">
        <v>0</v>
      </c>
      <c r="AI58" s="244">
        <f>AH58/AH12</f>
        <v>0</v>
      </c>
      <c r="AJ58" s="282">
        <f t="shared" si="1"/>
        <v>0</v>
      </c>
      <c r="AK58" s="53">
        <f t="shared" si="2"/>
        <v>0</v>
      </c>
      <c r="AL58" s="53">
        <f t="shared" si="23"/>
        <v>0</v>
      </c>
      <c r="AM58" s="53">
        <f t="shared" si="25"/>
        <v>0</v>
      </c>
      <c r="AN58" s="53"/>
      <c r="AQ58" s="53">
        <f t="shared" si="20"/>
        <v>0</v>
      </c>
    </row>
    <row r="59" spans="1:45">
      <c r="A59" s="98">
        <v>6118</v>
      </c>
      <c r="B59" s="108" t="s">
        <v>17</v>
      </c>
      <c r="C59" s="79"/>
      <c r="D59" s="49">
        <f>C59/C$12</f>
        <v>0</v>
      </c>
      <c r="E59" s="79"/>
      <c r="F59" s="49">
        <f>E59/E$12</f>
        <v>0</v>
      </c>
      <c r="G59" s="79"/>
      <c r="H59" s="49">
        <f>G59/G$5</f>
        <v>0</v>
      </c>
      <c r="I59" s="79">
        <v>0</v>
      </c>
      <c r="J59" s="49">
        <f>I59/I12</f>
        <v>0</v>
      </c>
      <c r="K59" s="79"/>
      <c r="L59" s="49">
        <f>K59/K$5</f>
        <v>0</v>
      </c>
      <c r="M59" s="79"/>
      <c r="N59" s="49">
        <f>M59/M$5</f>
        <v>0</v>
      </c>
      <c r="O59" s="79"/>
      <c r="P59" s="49">
        <f>O59/O$5</f>
        <v>0</v>
      </c>
      <c r="Q59" s="79"/>
      <c r="R59" s="49">
        <f>Q59/Q$5</f>
        <v>0</v>
      </c>
      <c r="S59" s="79"/>
      <c r="T59" s="49">
        <f>S59/S$5</f>
        <v>0</v>
      </c>
      <c r="U59" s="79"/>
      <c r="V59" s="49">
        <f>U59/U$5</f>
        <v>0</v>
      </c>
      <c r="W59" s="79"/>
      <c r="X59" s="49">
        <f>W59/W$5</f>
        <v>0</v>
      </c>
      <c r="Y59" s="79"/>
      <c r="Z59" s="168">
        <f>Y59/Y$5</f>
        <v>0</v>
      </c>
      <c r="AA59" s="275">
        <f t="shared" si="24"/>
        <v>0</v>
      </c>
      <c r="AB59" s="203">
        <f>AA59/AA$5</f>
        <v>0</v>
      </c>
      <c r="AC59" s="196">
        <f t="shared" si="17"/>
        <v>0</v>
      </c>
      <c r="AD59" s="203">
        <f>AC59/AC$5</f>
        <v>0</v>
      </c>
      <c r="AE59" s="159"/>
      <c r="AF59" s="159"/>
      <c r="AG59" s="159"/>
      <c r="AH59" s="196">
        <v>0</v>
      </c>
      <c r="AI59" s="244">
        <f>AH59/AH$5</f>
        <v>0</v>
      </c>
      <c r="AJ59" s="282">
        <f t="shared" si="1"/>
        <v>0</v>
      </c>
      <c r="AK59" s="53">
        <f t="shared" si="2"/>
        <v>0</v>
      </c>
      <c r="AL59" s="53">
        <f t="shared" si="23"/>
        <v>0</v>
      </c>
      <c r="AM59" s="53">
        <f t="shared" si="25"/>
        <v>0</v>
      </c>
      <c r="AN59" s="53"/>
      <c r="AQ59" s="53">
        <f t="shared" si="20"/>
        <v>0</v>
      </c>
    </row>
    <row r="60" spans="1:45">
      <c r="A60" s="98">
        <v>6119</v>
      </c>
      <c r="B60" s="107" t="s">
        <v>18</v>
      </c>
      <c r="C60" s="130"/>
      <c r="D60" s="49">
        <f>C60/C12</f>
        <v>0</v>
      </c>
      <c r="E60" s="43"/>
      <c r="F60" s="49">
        <f>E60/E12</f>
        <v>0</v>
      </c>
      <c r="G60" s="80"/>
      <c r="H60" s="49">
        <f>G60/G12</f>
        <v>0</v>
      </c>
      <c r="I60" s="18"/>
      <c r="J60" s="49">
        <f>I60/I12</f>
        <v>0</v>
      </c>
      <c r="K60" s="43">
        <v>0</v>
      </c>
      <c r="L60" s="49">
        <f>K60/K12</f>
        <v>0</v>
      </c>
      <c r="M60" s="18"/>
      <c r="N60" s="49">
        <f>M60/M12</f>
        <v>0</v>
      </c>
      <c r="O60" s="18">
        <v>0</v>
      </c>
      <c r="P60" s="49">
        <f>O60/O12</f>
        <v>0</v>
      </c>
      <c r="Q60" s="18"/>
      <c r="R60" s="49">
        <f>Q60/Q12</f>
        <v>0</v>
      </c>
      <c r="S60" s="18"/>
      <c r="T60" s="49">
        <f>S60/S12</f>
        <v>0</v>
      </c>
      <c r="U60" s="43"/>
      <c r="V60" s="49">
        <f>U60/U12</f>
        <v>0</v>
      </c>
      <c r="W60" s="33"/>
      <c r="X60" s="49">
        <f>W60/W12</f>
        <v>0</v>
      </c>
      <c r="Y60" s="43"/>
      <c r="Z60" s="168">
        <f>Y60/Y12</f>
        <v>0</v>
      </c>
      <c r="AA60" s="275">
        <f t="shared" si="24"/>
        <v>0</v>
      </c>
      <c r="AB60" s="203">
        <f>AA60/AA12</f>
        <v>0</v>
      </c>
      <c r="AC60" s="194">
        <f t="shared" si="17"/>
        <v>0</v>
      </c>
      <c r="AD60" s="203">
        <f>AC60/AC12</f>
        <v>0</v>
      </c>
      <c r="AE60" s="75"/>
      <c r="AF60" s="158"/>
      <c r="AG60" s="75"/>
      <c r="AH60" s="194">
        <v>0</v>
      </c>
      <c r="AI60" s="244">
        <f>AH60/AH12</f>
        <v>0</v>
      </c>
      <c r="AJ60" s="282">
        <f t="shared" si="1"/>
        <v>0</v>
      </c>
      <c r="AK60" s="53">
        <f t="shared" si="2"/>
        <v>0</v>
      </c>
      <c r="AL60" s="53">
        <f t="shared" si="23"/>
        <v>0</v>
      </c>
      <c r="AM60" s="53">
        <f t="shared" si="25"/>
        <v>0</v>
      </c>
      <c r="AN60" s="53"/>
      <c r="AQ60" s="53">
        <f t="shared" si="20"/>
        <v>0</v>
      </c>
    </row>
    <row r="61" spans="1:45">
      <c r="A61" s="98">
        <v>6120</v>
      </c>
      <c r="B61" s="107" t="s">
        <v>19</v>
      </c>
      <c r="C61" s="130"/>
      <c r="D61" s="49">
        <f>C61/C12</f>
        <v>0</v>
      </c>
      <c r="E61" s="43"/>
      <c r="F61" s="49">
        <f>E61/E12</f>
        <v>0</v>
      </c>
      <c r="G61" s="80"/>
      <c r="H61" s="49">
        <f>G61/G12</f>
        <v>0</v>
      </c>
      <c r="I61" s="18"/>
      <c r="J61" s="49">
        <f>I61/I12</f>
        <v>0</v>
      </c>
      <c r="K61" s="43">
        <v>0</v>
      </c>
      <c r="L61" s="49">
        <f>K61/K12</f>
        <v>0</v>
      </c>
      <c r="M61" s="18"/>
      <c r="N61" s="49">
        <f>M61/M12</f>
        <v>0</v>
      </c>
      <c r="O61" s="18"/>
      <c r="P61" s="49">
        <f>O61/O12</f>
        <v>0</v>
      </c>
      <c r="Q61" s="18"/>
      <c r="R61" s="49">
        <f>Q61/Q12</f>
        <v>0</v>
      </c>
      <c r="S61" s="18"/>
      <c r="T61" s="49">
        <f>S61/S12</f>
        <v>0</v>
      </c>
      <c r="U61" s="43"/>
      <c r="V61" s="49">
        <f>U61/U12</f>
        <v>0</v>
      </c>
      <c r="W61" s="33"/>
      <c r="X61" s="49">
        <f>W61/W12</f>
        <v>0</v>
      </c>
      <c r="Y61" s="43"/>
      <c r="Z61" s="168">
        <f>Y61/Y12</f>
        <v>0</v>
      </c>
      <c r="AA61" s="275">
        <f t="shared" si="24"/>
        <v>0</v>
      </c>
      <c r="AB61" s="203">
        <f>AA61/AA12</f>
        <v>0</v>
      </c>
      <c r="AC61" s="194">
        <f t="shared" si="17"/>
        <v>0</v>
      </c>
      <c r="AD61" s="203">
        <f>AC61/AC12</f>
        <v>0</v>
      </c>
      <c r="AE61" s="75"/>
      <c r="AF61" s="158"/>
      <c r="AG61" s="75"/>
      <c r="AH61" s="194">
        <v>0</v>
      </c>
      <c r="AI61" s="244">
        <f>AH61/AH12</f>
        <v>0</v>
      </c>
      <c r="AJ61" s="282">
        <f t="shared" si="1"/>
        <v>0</v>
      </c>
      <c r="AK61" s="53">
        <f t="shared" si="2"/>
        <v>0</v>
      </c>
      <c r="AL61" s="53">
        <f t="shared" si="23"/>
        <v>0</v>
      </c>
      <c r="AM61" s="53">
        <f t="shared" si="25"/>
        <v>0</v>
      </c>
      <c r="AN61" s="53"/>
      <c r="AQ61" s="53">
        <f t="shared" si="20"/>
        <v>0</v>
      </c>
    </row>
    <row r="62" spans="1:45">
      <c r="A62" s="2">
        <v>6121</v>
      </c>
      <c r="B62" s="107" t="s">
        <v>20</v>
      </c>
      <c r="C62" s="540">
        <v>50</v>
      </c>
      <c r="D62" s="49">
        <f>C62/C12</f>
        <v>4.2651329476060834E-4</v>
      </c>
      <c r="E62" s="540">
        <v>50</v>
      </c>
      <c r="F62" s="49">
        <f>E62/E12</f>
        <v>5.4821658019646544E-4</v>
      </c>
      <c r="G62" s="540">
        <v>50</v>
      </c>
      <c r="H62" s="49">
        <f>G62/G12</f>
        <v>3.3049430331531072E-4</v>
      </c>
      <c r="I62" s="540">
        <v>50</v>
      </c>
      <c r="J62" s="49">
        <f>I62/I12</f>
        <v>3.7428816471811428E-4</v>
      </c>
      <c r="K62" s="540">
        <v>50</v>
      </c>
      <c r="L62" s="49">
        <f>K62/K12</f>
        <v>4.0923616782010877E-4</v>
      </c>
      <c r="M62" s="540">
        <v>50</v>
      </c>
      <c r="N62" s="49">
        <f>M62/M12</f>
        <v>2.8860378251286995E-4</v>
      </c>
      <c r="O62" s="540">
        <v>50</v>
      </c>
      <c r="P62" s="49">
        <f>O62/O12</f>
        <v>4.5585055515096306E-4</v>
      </c>
      <c r="Q62" s="540">
        <v>50</v>
      </c>
      <c r="R62" s="49">
        <f>Q62/Q12</f>
        <v>3.6710656654710222E-4</v>
      </c>
      <c r="S62" s="540">
        <v>50</v>
      </c>
      <c r="T62" s="49">
        <f>S62/S12</f>
        <v>3.6441742983238709E-4</v>
      </c>
      <c r="U62" s="518">
        <v>50</v>
      </c>
      <c r="V62" s="49">
        <f>U62/U12</f>
        <v>4.5942313431237127E-4</v>
      </c>
      <c r="W62" s="518">
        <v>50</v>
      </c>
      <c r="X62" s="49">
        <f>W62/W12</f>
        <v>4.5154745611716688E-4</v>
      </c>
      <c r="Y62" s="518">
        <v>50</v>
      </c>
      <c r="Z62" s="168">
        <f>Y62/Y12</f>
        <v>2.9890671312464423E-4</v>
      </c>
      <c r="AA62" s="275">
        <f t="shared" si="24"/>
        <v>600</v>
      </c>
      <c r="AB62" s="203">
        <f>AA62/AA12</f>
        <v>3.8494456319663491E-4</v>
      </c>
      <c r="AC62" s="194">
        <f t="shared" si="17"/>
        <v>50</v>
      </c>
      <c r="AD62" s="203">
        <f>AC62/AC12</f>
        <v>3.8494456319663496E-4</v>
      </c>
      <c r="AE62" s="75"/>
      <c r="AF62" s="158"/>
      <c r="AG62" s="75"/>
      <c r="AH62" s="194">
        <v>600</v>
      </c>
      <c r="AI62" s="244">
        <f>AH62/AH12</f>
        <v>7.4512858218237356E-4</v>
      </c>
      <c r="AJ62" s="282">
        <f t="shared" si="1"/>
        <v>1250</v>
      </c>
      <c r="AK62" s="53">
        <f t="shared" si="2"/>
        <v>0</v>
      </c>
      <c r="AL62" s="53">
        <f t="shared" si="23"/>
        <v>600</v>
      </c>
      <c r="AM62" s="53">
        <f t="shared" si="25"/>
        <v>4700</v>
      </c>
      <c r="AN62" s="53">
        <v>18.36</v>
      </c>
      <c r="AQ62" s="53">
        <f t="shared" si="20"/>
        <v>470</v>
      </c>
    </row>
    <row r="63" spans="1:45">
      <c r="A63" s="2">
        <v>6122</v>
      </c>
      <c r="B63" s="107" t="s">
        <v>21</v>
      </c>
      <c r="C63" s="130"/>
      <c r="D63" s="49">
        <f>C63/C12</f>
        <v>0</v>
      </c>
      <c r="E63" s="43"/>
      <c r="F63" s="49">
        <f>E63/E12</f>
        <v>0</v>
      </c>
      <c r="G63" s="80"/>
      <c r="H63" s="49">
        <f>G63/G12</f>
        <v>0</v>
      </c>
      <c r="I63" s="18"/>
      <c r="J63" s="49">
        <f>I63/I12</f>
        <v>0</v>
      </c>
      <c r="K63" s="43">
        <v>0</v>
      </c>
      <c r="L63" s="49">
        <f>K63/K12</f>
        <v>0</v>
      </c>
      <c r="M63" s="18"/>
      <c r="N63" s="49">
        <f>M63/M12</f>
        <v>0</v>
      </c>
      <c r="O63" s="18"/>
      <c r="P63" s="49">
        <f>O63/O12</f>
        <v>0</v>
      </c>
      <c r="Q63" s="18"/>
      <c r="R63" s="49">
        <f>Q63/Q12</f>
        <v>0</v>
      </c>
      <c r="S63" s="18"/>
      <c r="T63" s="49">
        <f>S63/S12</f>
        <v>0</v>
      </c>
      <c r="U63" s="43"/>
      <c r="V63" s="49">
        <f>U63/U12</f>
        <v>0</v>
      </c>
      <c r="W63" s="33"/>
      <c r="X63" s="49">
        <f>W63/W12</f>
        <v>0</v>
      </c>
      <c r="Y63" s="43"/>
      <c r="Z63" s="168">
        <f>Y63/Y12</f>
        <v>0</v>
      </c>
      <c r="AA63" s="275">
        <f t="shared" si="24"/>
        <v>0</v>
      </c>
      <c r="AB63" s="203">
        <f>AA63/AA12</f>
        <v>0</v>
      </c>
      <c r="AC63" s="194">
        <f t="shared" si="17"/>
        <v>0</v>
      </c>
      <c r="AD63" s="203">
        <f>AC63/AC12</f>
        <v>0</v>
      </c>
      <c r="AE63" s="75"/>
      <c r="AF63" s="158"/>
      <c r="AG63" s="75"/>
      <c r="AH63" s="194">
        <v>0</v>
      </c>
      <c r="AI63" s="244">
        <f>AH63/AH12</f>
        <v>0</v>
      </c>
      <c r="AJ63" s="282">
        <f t="shared" si="1"/>
        <v>0</v>
      </c>
      <c r="AK63" s="53">
        <f t="shared" si="2"/>
        <v>0</v>
      </c>
      <c r="AL63" s="53">
        <f t="shared" si="23"/>
        <v>0</v>
      </c>
      <c r="AM63" s="53">
        <f t="shared" si="25"/>
        <v>0</v>
      </c>
      <c r="AN63" s="53"/>
      <c r="AQ63" s="53">
        <f t="shared" si="20"/>
        <v>0</v>
      </c>
    </row>
    <row r="64" spans="1:45">
      <c r="A64" s="2">
        <v>6123</v>
      </c>
      <c r="B64" s="107" t="s">
        <v>22</v>
      </c>
      <c r="C64" s="130"/>
      <c r="D64" s="49">
        <f>C64/C12</f>
        <v>0</v>
      </c>
      <c r="E64" s="43"/>
      <c r="F64" s="49">
        <f>E64/E12</f>
        <v>0</v>
      </c>
      <c r="G64" s="80"/>
      <c r="H64" s="49">
        <f>G64/G12</f>
        <v>0</v>
      </c>
      <c r="I64" s="18"/>
      <c r="J64" s="49">
        <f>I64/I12</f>
        <v>0</v>
      </c>
      <c r="K64" s="43">
        <v>0</v>
      </c>
      <c r="L64" s="49">
        <f>K64/K12</f>
        <v>0</v>
      </c>
      <c r="M64" s="18"/>
      <c r="N64" s="49">
        <f>M64/M12</f>
        <v>0</v>
      </c>
      <c r="O64" s="18"/>
      <c r="P64" s="49">
        <f>O64/O12</f>
        <v>0</v>
      </c>
      <c r="Q64" s="18"/>
      <c r="R64" s="49">
        <f>Q64/Q12</f>
        <v>0</v>
      </c>
      <c r="S64" s="18"/>
      <c r="T64" s="49">
        <f>S64/S12</f>
        <v>0</v>
      </c>
      <c r="U64" s="43"/>
      <c r="V64" s="49">
        <f>U64/U12</f>
        <v>0</v>
      </c>
      <c r="W64" s="33"/>
      <c r="X64" s="49">
        <f>W64/W12</f>
        <v>0</v>
      </c>
      <c r="Y64" s="43"/>
      <c r="Z64" s="168">
        <f>Y64/Y12</f>
        <v>0</v>
      </c>
      <c r="AA64" s="275">
        <f t="shared" si="24"/>
        <v>0</v>
      </c>
      <c r="AB64" s="203">
        <f>AA64/AA12</f>
        <v>0</v>
      </c>
      <c r="AC64" s="194">
        <f t="shared" si="17"/>
        <v>0</v>
      </c>
      <c r="AD64" s="203">
        <f>AC64/AC12</f>
        <v>0</v>
      </c>
      <c r="AE64" s="75"/>
      <c r="AF64" s="158"/>
      <c r="AG64" s="75"/>
      <c r="AH64" s="194">
        <v>0</v>
      </c>
      <c r="AI64" s="244">
        <f>AH64/AH12</f>
        <v>0</v>
      </c>
      <c r="AJ64" s="282">
        <f t="shared" si="1"/>
        <v>0</v>
      </c>
      <c r="AK64" s="53">
        <f t="shared" si="2"/>
        <v>0</v>
      </c>
      <c r="AL64" s="53">
        <f t="shared" si="23"/>
        <v>0</v>
      </c>
      <c r="AM64" s="53">
        <f t="shared" si="25"/>
        <v>0</v>
      </c>
      <c r="AN64" s="53"/>
      <c r="AQ64" s="53">
        <f t="shared" si="20"/>
        <v>0</v>
      </c>
    </row>
    <row r="65" spans="1:43">
      <c r="A65" s="98">
        <v>6124</v>
      </c>
      <c r="B65" s="107" t="s">
        <v>23</v>
      </c>
      <c r="C65" s="540">
        <v>75</v>
      </c>
      <c r="D65" s="49">
        <f>C65/C12</f>
        <v>6.3976994214091248E-4</v>
      </c>
      <c r="E65" s="540">
        <v>75</v>
      </c>
      <c r="F65" s="49">
        <f>E65/E12</f>
        <v>8.2232487029469821E-4</v>
      </c>
      <c r="G65" s="540">
        <v>75</v>
      </c>
      <c r="H65" s="49">
        <f>G65/G12</f>
        <v>4.9574145497296605E-4</v>
      </c>
      <c r="I65" s="540">
        <v>75</v>
      </c>
      <c r="J65" s="49">
        <f>I65/I12</f>
        <v>5.6143224707717139E-4</v>
      </c>
      <c r="K65" s="540">
        <v>75</v>
      </c>
      <c r="L65" s="49">
        <f>K65/K12</f>
        <v>6.1385425173016313E-4</v>
      </c>
      <c r="M65" s="540">
        <v>75</v>
      </c>
      <c r="N65" s="49">
        <f>M65/M12</f>
        <v>4.3290567376930492E-4</v>
      </c>
      <c r="O65" s="540">
        <v>75</v>
      </c>
      <c r="P65" s="49">
        <f>O65/O12</f>
        <v>6.8377583272644462E-4</v>
      </c>
      <c r="Q65" s="540">
        <v>75</v>
      </c>
      <c r="R65" s="49">
        <f>Q65/Q12</f>
        <v>5.506598498206533E-4</v>
      </c>
      <c r="S65" s="540">
        <v>75</v>
      </c>
      <c r="T65" s="49">
        <f>S65/S12</f>
        <v>5.4662614474858067E-4</v>
      </c>
      <c r="U65" s="503">
        <v>75</v>
      </c>
      <c r="V65" s="49">
        <f>U65/U12</f>
        <v>6.8913470146855684E-4</v>
      </c>
      <c r="W65" s="503">
        <v>75</v>
      </c>
      <c r="X65" s="49">
        <f>W65/W12</f>
        <v>6.7732118417575032E-4</v>
      </c>
      <c r="Y65" s="18">
        <v>75</v>
      </c>
      <c r="Z65" s="168">
        <f>Y65/Y12</f>
        <v>4.4836006968696629E-4</v>
      </c>
      <c r="AA65" s="275">
        <f t="shared" si="24"/>
        <v>900</v>
      </c>
      <c r="AB65" s="203">
        <f>AA65/AA12</f>
        <v>5.7741684479495239E-4</v>
      </c>
      <c r="AC65" s="194">
        <f t="shared" si="17"/>
        <v>75</v>
      </c>
      <c r="AD65" s="203">
        <f>AC65/AC12</f>
        <v>5.7741684479495239E-4</v>
      </c>
      <c r="AE65" s="75"/>
      <c r="AF65" s="158"/>
      <c r="AG65" s="75"/>
      <c r="AH65" s="194">
        <v>1200</v>
      </c>
      <c r="AI65" s="244">
        <f>AH65/AH12</f>
        <v>1.4902571643647471E-3</v>
      </c>
      <c r="AJ65" s="282">
        <f t="shared" si="1"/>
        <v>2175</v>
      </c>
      <c r="AK65" s="53">
        <f t="shared" si="2"/>
        <v>0</v>
      </c>
      <c r="AL65" s="53">
        <f t="shared" si="23"/>
        <v>900</v>
      </c>
      <c r="AM65" s="53">
        <f t="shared" si="25"/>
        <v>7050</v>
      </c>
      <c r="AN65" s="53" t="s">
        <v>234</v>
      </c>
      <c r="AQ65" s="53">
        <f t="shared" si="20"/>
        <v>705</v>
      </c>
    </row>
    <row r="66" spans="1:43">
      <c r="A66" s="98">
        <v>6125</v>
      </c>
      <c r="B66" s="107" t="s">
        <v>78</v>
      </c>
      <c r="C66" s="540">
        <v>44.42</v>
      </c>
      <c r="D66" s="49">
        <f>C66/C12</f>
        <v>3.7891441106532446E-4</v>
      </c>
      <c r="E66" s="540">
        <v>44.42</v>
      </c>
      <c r="F66" s="521">
        <f>E66/E12</f>
        <v>4.8703560984653994E-4</v>
      </c>
      <c r="G66" s="540">
        <v>44.42</v>
      </c>
      <c r="H66" s="521">
        <f>G66/G12</f>
        <v>2.9361113906532207E-4</v>
      </c>
      <c r="I66" s="540">
        <v>44.42</v>
      </c>
      <c r="J66" s="521">
        <f>I66/I12</f>
        <v>3.3251760553557275E-4</v>
      </c>
      <c r="K66" s="540">
        <v>44.42</v>
      </c>
      <c r="L66" s="521">
        <f>K66/K12</f>
        <v>3.6356541149138463E-4</v>
      </c>
      <c r="M66" s="540">
        <v>44.42</v>
      </c>
      <c r="N66" s="521">
        <f>M66/M12</f>
        <v>2.5639560038443366E-4</v>
      </c>
      <c r="O66" s="540">
        <v>44.42</v>
      </c>
      <c r="P66" s="521">
        <f>O66/O12</f>
        <v>4.049776331961156E-4</v>
      </c>
      <c r="Q66" s="540">
        <v>44.42</v>
      </c>
      <c r="R66" s="521">
        <f>Q66/Q12</f>
        <v>3.2613747372044563E-4</v>
      </c>
      <c r="S66" s="540">
        <v>44.42</v>
      </c>
      <c r="T66" s="521">
        <f>S66/S12</f>
        <v>3.237484446630927E-4</v>
      </c>
      <c r="U66" s="540">
        <v>44.42</v>
      </c>
      <c r="V66" s="521">
        <f>U66/U12</f>
        <v>4.0815151252311064E-4</v>
      </c>
      <c r="W66" s="540">
        <v>44.42</v>
      </c>
      <c r="X66" s="521">
        <f>W66/W12</f>
        <v>4.0115476001449109E-4</v>
      </c>
      <c r="Y66" s="540">
        <v>44.42</v>
      </c>
      <c r="Z66" s="521">
        <f>Y66/Y12</f>
        <v>2.6554872393993393E-4</v>
      </c>
      <c r="AA66" s="275">
        <f t="shared" si="24"/>
        <v>533.04000000000008</v>
      </c>
      <c r="AB66" s="203">
        <f>AA66/AA12</f>
        <v>3.419847499438905E-4</v>
      </c>
      <c r="AC66" s="194">
        <f t="shared" si="17"/>
        <v>44.420000000000009</v>
      </c>
      <c r="AD66" s="203">
        <f>AC66/AC12</f>
        <v>3.4198474994389055E-4</v>
      </c>
      <c r="AE66" s="75"/>
      <c r="AF66" s="158">
        <v>821</v>
      </c>
      <c r="AG66" s="542" t="s">
        <v>279</v>
      </c>
      <c r="AH66" s="194">
        <v>1375</v>
      </c>
      <c r="AI66" s="244">
        <f>AH66/AH12</f>
        <v>1.7075863341679393E-3</v>
      </c>
      <c r="AJ66" s="282">
        <f t="shared" si="1"/>
        <v>1952.46</v>
      </c>
      <c r="AK66" s="53">
        <f t="shared" si="2"/>
        <v>0</v>
      </c>
      <c r="AL66" s="53">
        <f t="shared" si="23"/>
        <v>533.04000000000008</v>
      </c>
      <c r="AM66" s="53">
        <f t="shared" si="25"/>
        <v>4175.4800000000014</v>
      </c>
      <c r="AN66" s="53">
        <v>121</v>
      </c>
      <c r="AQ66" s="53">
        <f t="shared" si="20"/>
        <v>417.54800000000006</v>
      </c>
    </row>
    <row r="67" spans="1:43">
      <c r="A67" s="2">
        <v>6126</v>
      </c>
      <c r="B67" s="107" t="s">
        <v>104</v>
      </c>
      <c r="C67" s="130"/>
      <c r="D67" s="49">
        <f>C67/C12</f>
        <v>0</v>
      </c>
      <c r="E67" s="524"/>
      <c r="F67" s="521">
        <f>E67/E12</f>
        <v>0</v>
      </c>
      <c r="G67" s="524"/>
      <c r="H67" s="521">
        <f>G67/G12</f>
        <v>0</v>
      </c>
      <c r="I67" s="524"/>
      <c r="J67" s="521">
        <f>I67/I12</f>
        <v>0</v>
      </c>
      <c r="K67" s="524"/>
      <c r="L67" s="521">
        <f>K67/K12</f>
        <v>0</v>
      </c>
      <c r="M67" s="524"/>
      <c r="N67" s="521">
        <f>M67/M12</f>
        <v>0</v>
      </c>
      <c r="O67" s="524"/>
      <c r="P67" s="521">
        <f>O67/O12</f>
        <v>0</v>
      </c>
      <c r="Q67" s="524"/>
      <c r="R67" s="521">
        <f>Q67/Q12</f>
        <v>0</v>
      </c>
      <c r="S67" s="524"/>
      <c r="T67" s="521">
        <f>S67/S12</f>
        <v>0</v>
      </c>
      <c r="U67" s="524"/>
      <c r="V67" s="521">
        <f>U67/U12</f>
        <v>0</v>
      </c>
      <c r="W67" s="524"/>
      <c r="X67" s="521">
        <f>W67/W12</f>
        <v>0</v>
      </c>
      <c r="Y67" s="524"/>
      <c r="Z67" s="521">
        <f>Y67/Y12</f>
        <v>0</v>
      </c>
      <c r="AA67" s="510">
        <f t="shared" si="24"/>
        <v>0</v>
      </c>
      <c r="AB67" s="203">
        <f>AA67/AA12</f>
        <v>0</v>
      </c>
      <c r="AC67" s="194">
        <f t="shared" si="17"/>
        <v>0</v>
      </c>
      <c r="AD67" s="203">
        <f>AC67/AC12</f>
        <v>0</v>
      </c>
      <c r="AE67" s="75"/>
      <c r="AF67" s="158"/>
      <c r="AG67" s="75"/>
      <c r="AH67" s="194">
        <v>0</v>
      </c>
      <c r="AI67" s="244">
        <f>AH67/AH12</f>
        <v>0</v>
      </c>
      <c r="AJ67" s="282">
        <f t="shared" si="1"/>
        <v>0</v>
      </c>
      <c r="AK67" s="53">
        <f t="shared" si="2"/>
        <v>0</v>
      </c>
      <c r="AL67" s="53">
        <f t="shared" si="23"/>
        <v>0</v>
      </c>
      <c r="AM67" s="53">
        <f t="shared" si="25"/>
        <v>0</v>
      </c>
      <c r="AN67" s="53"/>
      <c r="AQ67" s="53">
        <f t="shared" si="20"/>
        <v>0</v>
      </c>
    </row>
    <row r="68" spans="1:43">
      <c r="A68" s="98">
        <v>6127</v>
      </c>
      <c r="B68" s="107" t="s">
        <v>76</v>
      </c>
      <c r="C68" s="540">
        <v>223</v>
      </c>
      <c r="D68" s="521">
        <f>C68/C$12</f>
        <v>1.9022492946323131E-3</v>
      </c>
      <c r="E68" s="540">
        <v>223</v>
      </c>
      <c r="F68" s="521">
        <f>E68/E$12</f>
        <v>2.445045947676236E-3</v>
      </c>
      <c r="G68" s="540">
        <v>223</v>
      </c>
      <c r="H68" s="521">
        <f>G68/G$12</f>
        <v>1.4740045927862859E-3</v>
      </c>
      <c r="I68" s="540">
        <v>223</v>
      </c>
      <c r="J68" s="521">
        <f>I68/I$12</f>
        <v>1.6693252146427896E-3</v>
      </c>
      <c r="K68" s="540">
        <v>223</v>
      </c>
      <c r="L68" s="521">
        <f>K68/K$12</f>
        <v>1.8251933084776851E-3</v>
      </c>
      <c r="M68" s="540">
        <v>223</v>
      </c>
      <c r="N68" s="521">
        <f>M68/M$12</f>
        <v>1.2871728700073999E-3</v>
      </c>
      <c r="O68" s="540">
        <v>223</v>
      </c>
      <c r="P68" s="521">
        <f>O68/O$12</f>
        <v>2.0330934759732952E-3</v>
      </c>
      <c r="Q68" s="540">
        <v>223</v>
      </c>
      <c r="R68" s="521">
        <f>Q68/Q$12</f>
        <v>1.6372952868000759E-3</v>
      </c>
      <c r="S68" s="540">
        <v>223</v>
      </c>
      <c r="T68" s="521">
        <f>S68/S$12</f>
        <v>1.6253017370524464E-3</v>
      </c>
      <c r="U68" s="540">
        <v>223</v>
      </c>
      <c r="V68" s="521">
        <f>U68/U$12</f>
        <v>2.0490271790331756E-3</v>
      </c>
      <c r="W68" s="540">
        <v>223</v>
      </c>
      <c r="X68" s="521">
        <f>W68/W$12</f>
        <v>2.0139016542825646E-3</v>
      </c>
      <c r="Y68" s="540">
        <v>223</v>
      </c>
      <c r="Z68" s="521">
        <f>Y68/Y$12</f>
        <v>1.3331239405359131E-3</v>
      </c>
      <c r="AA68" s="510">
        <f t="shared" si="24"/>
        <v>2676</v>
      </c>
      <c r="AB68" s="203">
        <f>AA68/AA12</f>
        <v>1.7168527518569919E-3</v>
      </c>
      <c r="AC68" s="194">
        <f t="shared" si="17"/>
        <v>223</v>
      </c>
      <c r="AD68" s="203">
        <f>AC68/AC12</f>
        <v>1.7168527518569919E-3</v>
      </c>
      <c r="AE68" s="75"/>
      <c r="AF68" s="158"/>
      <c r="AG68" s="542" t="s">
        <v>280</v>
      </c>
      <c r="AH68" s="194">
        <v>6000</v>
      </c>
      <c r="AI68" s="244">
        <f>AH68/AH12</f>
        <v>7.4512858218237351E-3</v>
      </c>
      <c r="AJ68" s="282">
        <f t="shared" si="1"/>
        <v>8899</v>
      </c>
      <c r="AK68" s="53">
        <f t="shared" si="2"/>
        <v>0</v>
      </c>
      <c r="AL68" s="53">
        <f t="shared" si="23"/>
        <v>2676</v>
      </c>
      <c r="AM68" s="53">
        <f t="shared" si="25"/>
        <v>20962.000000000004</v>
      </c>
      <c r="AN68" s="53"/>
      <c r="AO68" s="306">
        <f>4000*3+30000</f>
        <v>42000</v>
      </c>
      <c r="AP68" s="306"/>
      <c r="AQ68" s="53">
        <f t="shared" si="20"/>
        <v>2096.2000000000003</v>
      </c>
    </row>
    <row r="69" spans="1:43">
      <c r="A69" s="2">
        <v>6128</v>
      </c>
      <c r="B69" s="107" t="s">
        <v>182</v>
      </c>
      <c r="C69" s="198"/>
      <c r="D69" s="49">
        <f>C69/C$12</f>
        <v>0</v>
      </c>
      <c r="E69" s="527"/>
      <c r="F69" s="521">
        <f>E69/E$12</f>
        <v>0</v>
      </c>
      <c r="G69" s="527"/>
      <c r="H69" s="521">
        <f>G69/G$12</f>
        <v>0</v>
      </c>
      <c r="I69" s="527"/>
      <c r="J69" s="521">
        <f>I69/I$12</f>
        <v>0</v>
      </c>
      <c r="K69" s="527"/>
      <c r="L69" s="521">
        <f>K69/K$12</f>
        <v>0</v>
      </c>
      <c r="M69" s="527"/>
      <c r="N69" s="521">
        <f>M69/M$12</f>
        <v>0</v>
      </c>
      <c r="O69" s="527"/>
      <c r="P69" s="521">
        <f>O69/O$12</f>
        <v>0</v>
      </c>
      <c r="Q69" s="527"/>
      <c r="R69" s="521">
        <f>Q69/Q$12</f>
        <v>0</v>
      </c>
      <c r="S69" s="527"/>
      <c r="T69" s="521">
        <f>S69/S$12</f>
        <v>0</v>
      </c>
      <c r="U69" s="527"/>
      <c r="V69" s="521">
        <f>U69/U$12</f>
        <v>0</v>
      </c>
      <c r="W69" s="527"/>
      <c r="X69" s="521">
        <f>W69/W$12</f>
        <v>0</v>
      </c>
      <c r="Y69" s="527"/>
      <c r="Z69" s="521">
        <f>Y69/Y$12</f>
        <v>0</v>
      </c>
      <c r="AA69" s="510">
        <f t="shared" si="24"/>
        <v>0</v>
      </c>
      <c r="AB69" s="49">
        <f>AA69/AA$12</f>
        <v>0</v>
      </c>
      <c r="AC69" s="194">
        <f t="shared" si="17"/>
        <v>0</v>
      </c>
      <c r="AD69" s="49">
        <f>AC69/AC$12</f>
        <v>0</v>
      </c>
      <c r="AE69" s="75"/>
      <c r="AF69" s="158"/>
      <c r="AG69" s="75"/>
      <c r="AH69" s="194">
        <v>0</v>
      </c>
      <c r="AI69" s="244"/>
      <c r="AJ69" s="282">
        <f t="shared" ref="AJ69:AJ115" si="26">SUM(AA69+AC69+AH69)</f>
        <v>0</v>
      </c>
      <c r="AK69" s="53">
        <f t="shared" ref="AK69:AK147" si="27">AA69-AL69</f>
        <v>0</v>
      </c>
      <c r="AL69" s="53">
        <f t="shared" si="23"/>
        <v>0</v>
      </c>
      <c r="AM69" s="53">
        <f t="shared" si="25"/>
        <v>0</v>
      </c>
      <c r="AN69" s="53"/>
      <c r="AQ69" s="53">
        <f t="shared" si="20"/>
        <v>0</v>
      </c>
    </row>
    <row r="70" spans="1:43">
      <c r="A70" s="2">
        <v>6131</v>
      </c>
      <c r="B70" s="107" t="s">
        <v>250</v>
      </c>
      <c r="C70" s="170">
        <v>71.069999999999993</v>
      </c>
      <c r="D70" s="521">
        <f t="shared" ref="D70:D75" si="28">C70/C$12</f>
        <v>6.0624599717272866E-4</v>
      </c>
      <c r="E70" s="170">
        <v>71.069999999999993</v>
      </c>
      <c r="F70" s="521">
        <f t="shared" ref="F70:F73" si="29">E70/E$12</f>
        <v>7.7923504709125589E-4</v>
      </c>
      <c r="G70" s="170">
        <v>71.069999999999993</v>
      </c>
      <c r="H70" s="521">
        <f t="shared" ref="H70:H73" si="30">G70/G$12</f>
        <v>4.6976460273238262E-4</v>
      </c>
      <c r="I70" s="170">
        <v>71.069999999999993</v>
      </c>
      <c r="J70" s="521">
        <f t="shared" ref="J70:J73" si="31">I70/I$12</f>
        <v>5.3201319733032755E-4</v>
      </c>
      <c r="K70" s="170">
        <v>71.069999999999993</v>
      </c>
      <c r="L70" s="521">
        <f t="shared" ref="L70:L73" si="32">K70/K$12</f>
        <v>5.8168828893950255E-4</v>
      </c>
      <c r="M70" s="170">
        <v>71.069999999999993</v>
      </c>
      <c r="N70" s="521">
        <f t="shared" ref="N70:N73" si="33">M70/M$12</f>
        <v>4.102214164637933E-4</v>
      </c>
      <c r="O70" s="170">
        <v>71.069999999999993</v>
      </c>
      <c r="P70" s="521">
        <f t="shared" ref="P70:P73" si="34">O70/O$12</f>
        <v>6.4794597909157889E-4</v>
      </c>
      <c r="Q70" s="170">
        <v>71.069999999999993</v>
      </c>
      <c r="R70" s="521">
        <f t="shared" ref="R70:R73" si="35">Q70/Q$12</f>
        <v>5.2180527369005106E-4</v>
      </c>
      <c r="S70" s="170">
        <v>71.069999999999993</v>
      </c>
      <c r="T70" s="521">
        <f t="shared" ref="T70:T73" si="36">S70/S$12</f>
        <v>5.1798293476375496E-4</v>
      </c>
      <c r="U70" s="170">
        <v>71.069999999999993</v>
      </c>
      <c r="V70" s="521">
        <f t="shared" ref="V70:V73" si="37">U70/U$12</f>
        <v>6.5302404311160444E-4</v>
      </c>
      <c r="W70" s="170">
        <v>71.069999999999993</v>
      </c>
      <c r="X70" s="521">
        <f t="shared" ref="X70:X73" si="38">W70/W$12</f>
        <v>6.4182955412494093E-4</v>
      </c>
      <c r="Y70" s="170">
        <v>71.069999999999993</v>
      </c>
      <c r="Z70" s="521">
        <f t="shared" ref="Z70:Z73" si="39">Y70/Y$12</f>
        <v>4.2486600203536925E-4</v>
      </c>
      <c r="AA70" s="510">
        <f t="shared" si="24"/>
        <v>852.83999999999969</v>
      </c>
      <c r="AB70" s="521">
        <f t="shared" ref="AB70" si="40">AA70/AA$12</f>
        <v>5.4716020212769673E-4</v>
      </c>
      <c r="AC70" s="194">
        <f t="shared" ref="AC70:AC75" si="41">AA70/12</f>
        <v>71.069999999999979</v>
      </c>
      <c r="AD70" s="521">
        <f t="shared" ref="AD70" si="42">AC70/AC$12</f>
        <v>5.4716020212769673E-4</v>
      </c>
      <c r="AE70" s="75"/>
      <c r="AF70" s="158"/>
      <c r="AG70" s="75"/>
      <c r="AH70" s="528"/>
      <c r="AI70" s="244"/>
      <c r="AJ70" s="282"/>
      <c r="AK70" s="53"/>
      <c r="AL70" s="53"/>
      <c r="AM70" s="53"/>
      <c r="AN70" s="53"/>
      <c r="AQ70" s="53"/>
    </row>
    <row r="71" spans="1:43">
      <c r="A71" s="2">
        <v>6132</v>
      </c>
      <c r="B71" s="107" t="s">
        <v>251</v>
      </c>
      <c r="C71" s="170">
        <v>4.8862828713574977</v>
      </c>
      <c r="D71" s="521">
        <f t="shared" si="28"/>
        <v>4.1681292131900243E-5</v>
      </c>
      <c r="E71" s="170">
        <v>4.8862828713574977</v>
      </c>
      <c r="F71" s="521">
        <f t="shared" si="29"/>
        <v>5.3574825712163465E-5</v>
      </c>
      <c r="G71" s="170">
        <v>4.8862828713574977</v>
      </c>
      <c r="H71" s="521">
        <f t="shared" si="30"/>
        <v>3.2297773067416647E-5</v>
      </c>
      <c r="I71" s="170">
        <v>4.8862828713574977</v>
      </c>
      <c r="J71" s="521">
        <f t="shared" si="31"/>
        <v>3.6577556964279112E-5</v>
      </c>
      <c r="K71" s="170">
        <v>4.8862828713574977</v>
      </c>
      <c r="L71" s="521">
        <f t="shared" si="32"/>
        <v>3.99928735431876E-5</v>
      </c>
      <c r="M71" s="170">
        <v>4.8862828713574977</v>
      </c>
      <c r="N71" s="521">
        <f t="shared" si="33"/>
        <v>2.8203994382032418E-5</v>
      </c>
      <c r="O71" s="170">
        <v>4.8862828713574977</v>
      </c>
      <c r="P71" s="521">
        <f t="shared" si="34"/>
        <v>4.4548295190659142E-5</v>
      </c>
      <c r="Q71" s="170">
        <v>4.8862828713574977</v>
      </c>
      <c r="R71" s="521">
        <f t="shared" si="35"/>
        <v>3.5875730561639339E-5</v>
      </c>
      <c r="S71" s="170">
        <v>4.8862828713574977</v>
      </c>
      <c r="T71" s="521">
        <f t="shared" si="36"/>
        <v>3.5612932908282313E-5</v>
      </c>
      <c r="U71" s="170">
        <v>4.8862828713574977</v>
      </c>
      <c r="V71" s="521">
        <f t="shared" si="37"/>
        <v>4.4897427837918292E-5</v>
      </c>
      <c r="W71" s="170">
        <v>4.8862828713574977</v>
      </c>
      <c r="X71" s="521">
        <f t="shared" si="38"/>
        <v>4.4127772008607282E-5</v>
      </c>
      <c r="Y71" s="170">
        <v>4.8862828713574977</v>
      </c>
      <c r="Z71" s="521">
        <f t="shared" si="39"/>
        <v>2.9210855049494367E-5</v>
      </c>
      <c r="AA71" s="510">
        <f t="shared" si="24"/>
        <v>58.635394456289958</v>
      </c>
      <c r="AB71" s="521">
        <f t="shared" ref="AB71" si="43">AA71/AA$12</f>
        <v>3.7618960511398213E-5</v>
      </c>
      <c r="AC71" s="194">
        <f t="shared" si="41"/>
        <v>4.8862828713574968</v>
      </c>
      <c r="AD71" s="521">
        <f t="shared" ref="AD71" si="44">AC71/AC$12</f>
        <v>3.761896051139822E-5</v>
      </c>
      <c r="AE71" s="75"/>
      <c r="AF71" s="158"/>
      <c r="AG71" s="75"/>
      <c r="AH71" s="528"/>
      <c r="AI71" s="244"/>
      <c r="AJ71" s="282"/>
      <c r="AK71" s="53"/>
      <c r="AL71" s="53"/>
      <c r="AM71" s="53"/>
      <c r="AN71" s="53"/>
      <c r="AQ71" s="53"/>
    </row>
    <row r="72" spans="1:43">
      <c r="A72" s="2">
        <v>6133</v>
      </c>
      <c r="B72" s="107" t="s">
        <v>252</v>
      </c>
      <c r="C72" s="170">
        <v>10</v>
      </c>
      <c r="D72" s="521">
        <f t="shared" si="28"/>
        <v>8.5302658952121659E-5</v>
      </c>
      <c r="E72" s="170">
        <v>10</v>
      </c>
      <c r="F72" s="521">
        <f t="shared" si="29"/>
        <v>1.0964331603929309E-4</v>
      </c>
      <c r="G72" s="170">
        <v>10</v>
      </c>
      <c r="H72" s="521">
        <f t="shared" si="30"/>
        <v>6.6098860663062144E-5</v>
      </c>
      <c r="I72" s="170">
        <v>10</v>
      </c>
      <c r="J72" s="521">
        <f t="shared" si="31"/>
        <v>7.4857632943622852E-5</v>
      </c>
      <c r="K72" s="170">
        <v>10</v>
      </c>
      <c r="L72" s="521">
        <f t="shared" si="32"/>
        <v>8.1847233564021752E-5</v>
      </c>
      <c r="M72" s="170">
        <v>10</v>
      </c>
      <c r="N72" s="521">
        <f t="shared" si="33"/>
        <v>5.7720756502573986E-5</v>
      </c>
      <c r="O72" s="170">
        <v>10</v>
      </c>
      <c r="P72" s="521">
        <f t="shared" si="34"/>
        <v>9.1170111030192618E-5</v>
      </c>
      <c r="Q72" s="170">
        <v>10</v>
      </c>
      <c r="R72" s="521">
        <f t="shared" si="35"/>
        <v>7.3421313309420441E-5</v>
      </c>
      <c r="S72" s="170">
        <v>10</v>
      </c>
      <c r="T72" s="521">
        <f t="shared" si="36"/>
        <v>7.2883485966477414E-5</v>
      </c>
      <c r="U72" s="170">
        <v>10</v>
      </c>
      <c r="V72" s="521">
        <f t="shared" si="37"/>
        <v>9.1884626862474245E-5</v>
      </c>
      <c r="W72" s="170">
        <v>10</v>
      </c>
      <c r="X72" s="521">
        <f t="shared" si="38"/>
        <v>9.0309491223433382E-5</v>
      </c>
      <c r="Y72" s="170">
        <v>10</v>
      </c>
      <c r="Z72" s="521">
        <f t="shared" si="39"/>
        <v>5.9781342624928845E-5</v>
      </c>
      <c r="AA72" s="510">
        <f t="shared" si="24"/>
        <v>120</v>
      </c>
      <c r="AB72" s="521">
        <f t="shared" ref="AB72" si="45">AA72/AA$12</f>
        <v>7.6988912639326987E-5</v>
      </c>
      <c r="AC72" s="194">
        <f t="shared" si="41"/>
        <v>10</v>
      </c>
      <c r="AD72" s="521">
        <f t="shared" ref="AD72" si="46">AC72/AC$12</f>
        <v>7.6988912639326987E-5</v>
      </c>
      <c r="AE72" s="75"/>
      <c r="AF72" s="158"/>
      <c r="AG72" s="75"/>
      <c r="AH72" s="528"/>
      <c r="AI72" s="244"/>
      <c r="AJ72" s="282"/>
      <c r="AK72" s="53"/>
      <c r="AL72" s="53"/>
      <c r="AM72" s="53"/>
      <c r="AN72" s="53"/>
      <c r="AQ72" s="53"/>
    </row>
    <row r="73" spans="1:43">
      <c r="A73" s="2">
        <v>6134</v>
      </c>
      <c r="B73" s="107" t="s">
        <v>253</v>
      </c>
      <c r="C73" s="170"/>
      <c r="D73" s="521">
        <f t="shared" si="28"/>
        <v>0</v>
      </c>
      <c r="E73" s="170"/>
      <c r="F73" s="521">
        <f t="shared" si="29"/>
        <v>0</v>
      </c>
      <c r="G73" s="170"/>
      <c r="H73" s="521">
        <f t="shared" si="30"/>
        <v>0</v>
      </c>
      <c r="I73" s="170"/>
      <c r="J73" s="521">
        <f t="shared" si="31"/>
        <v>0</v>
      </c>
      <c r="K73" s="170"/>
      <c r="L73" s="521">
        <f t="shared" si="32"/>
        <v>0</v>
      </c>
      <c r="M73" s="170"/>
      <c r="N73" s="521">
        <f t="shared" si="33"/>
        <v>0</v>
      </c>
      <c r="O73" s="170"/>
      <c r="P73" s="521">
        <f t="shared" si="34"/>
        <v>0</v>
      </c>
      <c r="Q73" s="170"/>
      <c r="R73" s="521">
        <f t="shared" si="35"/>
        <v>0</v>
      </c>
      <c r="S73" s="170"/>
      <c r="T73" s="521">
        <f t="shared" si="36"/>
        <v>0</v>
      </c>
      <c r="U73" s="170"/>
      <c r="V73" s="521">
        <f t="shared" si="37"/>
        <v>0</v>
      </c>
      <c r="W73" s="170"/>
      <c r="X73" s="521">
        <f t="shared" si="38"/>
        <v>0</v>
      </c>
      <c r="Y73" s="170"/>
      <c r="Z73" s="521">
        <f t="shared" si="39"/>
        <v>0</v>
      </c>
      <c r="AA73" s="510">
        <f t="shared" si="24"/>
        <v>0</v>
      </c>
      <c r="AB73" s="521">
        <f t="shared" ref="AB73:AB74" si="47">AA73/AA$12</f>
        <v>0</v>
      </c>
      <c r="AC73" s="194">
        <f t="shared" si="41"/>
        <v>0</v>
      </c>
      <c r="AD73" s="521">
        <f t="shared" ref="AD73:AD74" si="48">AC73/AC$12</f>
        <v>0</v>
      </c>
      <c r="AE73" s="75"/>
      <c r="AF73" s="158"/>
      <c r="AG73" s="75"/>
      <c r="AH73" s="528"/>
      <c r="AI73" s="244"/>
      <c r="AJ73" s="282"/>
      <c r="AK73" s="53"/>
      <c r="AL73" s="53"/>
      <c r="AM73" s="53"/>
      <c r="AN73" s="53"/>
      <c r="AQ73" s="53"/>
    </row>
    <row r="74" spans="1:43">
      <c r="A74" s="2">
        <v>6135</v>
      </c>
      <c r="B74" s="107" t="s">
        <v>254</v>
      </c>
      <c r="C74" s="170"/>
      <c r="D74" s="521">
        <f>C74/C$12</f>
        <v>0</v>
      </c>
      <c r="E74" s="170"/>
      <c r="F74" s="521">
        <f>E74/E$12</f>
        <v>0</v>
      </c>
      <c r="G74" s="170"/>
      <c r="H74" s="521">
        <f>G74/G$12</f>
        <v>0</v>
      </c>
      <c r="I74" s="170"/>
      <c r="J74" s="521">
        <f>I74/I$12</f>
        <v>0</v>
      </c>
      <c r="K74" s="170"/>
      <c r="L74" s="521">
        <f>K74/K$12</f>
        <v>0</v>
      </c>
      <c r="M74" s="170"/>
      <c r="N74" s="521">
        <f>M74/M$12</f>
        <v>0</v>
      </c>
      <c r="O74" s="170"/>
      <c r="P74" s="521">
        <f>O74/O$12</f>
        <v>0</v>
      </c>
      <c r="Q74" s="170"/>
      <c r="R74" s="521">
        <f>Q74/Q$12</f>
        <v>0</v>
      </c>
      <c r="S74" s="170"/>
      <c r="T74" s="521">
        <f>S74/S$12</f>
        <v>0</v>
      </c>
      <c r="U74" s="170"/>
      <c r="V74" s="521">
        <f>U74/U$12</f>
        <v>0</v>
      </c>
      <c r="W74" s="170"/>
      <c r="X74" s="521">
        <f>W74/W$12</f>
        <v>0</v>
      </c>
      <c r="Y74" s="170"/>
      <c r="Z74" s="521">
        <f>Y74/Y$12</f>
        <v>0</v>
      </c>
      <c r="AA74" s="510">
        <f t="shared" si="24"/>
        <v>0</v>
      </c>
      <c r="AB74" s="521">
        <f t="shared" si="47"/>
        <v>0</v>
      </c>
      <c r="AC74" s="194">
        <f t="shared" si="41"/>
        <v>0</v>
      </c>
      <c r="AD74" s="521">
        <f t="shared" si="48"/>
        <v>0</v>
      </c>
      <c r="AE74" s="75"/>
      <c r="AF74" s="158"/>
      <c r="AG74" s="75"/>
      <c r="AH74" s="528"/>
      <c r="AI74" s="244"/>
      <c r="AJ74" s="282"/>
      <c r="AK74" s="53"/>
      <c r="AL74" s="53"/>
      <c r="AM74" s="53"/>
      <c r="AN74" s="53"/>
      <c r="AQ74" s="53"/>
    </row>
    <row r="75" spans="1:43">
      <c r="A75" s="2">
        <v>6136</v>
      </c>
      <c r="B75" s="107" t="s">
        <v>265</v>
      </c>
      <c r="C75" s="170">
        <v>15.99147121535181</v>
      </c>
      <c r="D75" s="521">
        <f t="shared" si="28"/>
        <v>1.364115015225826E-4</v>
      </c>
      <c r="E75" s="170">
        <v>15.99147121535181</v>
      </c>
      <c r="F75" s="521">
        <f t="shared" ref="F75" si="49">E75/E$12</f>
        <v>1.753357932398077E-4</v>
      </c>
      <c r="G75" s="170">
        <v>15.99147121535181</v>
      </c>
      <c r="H75" s="521">
        <f t="shared" ref="H75" si="50">G75/G$12</f>
        <v>1.0570180276609083E-4</v>
      </c>
      <c r="I75" s="170">
        <v>15.99147121535181</v>
      </c>
      <c r="J75" s="521">
        <f t="shared" ref="J75" si="51">I75/I$12</f>
        <v>1.1970836824673162E-4</v>
      </c>
      <c r="K75" s="170">
        <v>15.99147121535181</v>
      </c>
      <c r="L75" s="521">
        <f t="shared" ref="L75" si="52">K75/K$12</f>
        <v>1.3088576795952303E-4</v>
      </c>
      <c r="M75" s="170">
        <v>15.99147121535181</v>
      </c>
      <c r="N75" s="521">
        <f t="shared" ref="N75" si="53">M75/M$12</f>
        <v>9.2303981613924273E-5</v>
      </c>
      <c r="O75" s="170">
        <v>15.99147121535181</v>
      </c>
      <c r="P75" s="521">
        <f t="shared" ref="P75" si="54">O75/O$12</f>
        <v>1.4579442062397538E-4</v>
      </c>
      <c r="Q75" s="170">
        <v>15.99147121535181</v>
      </c>
      <c r="R75" s="521">
        <f t="shared" ref="R75" si="55">Q75/Q$12</f>
        <v>1.1741148183809238E-4</v>
      </c>
      <c r="S75" s="170">
        <v>15.99147121535181</v>
      </c>
      <c r="T75" s="521">
        <f t="shared" ref="T75" si="56">S75/S$12</f>
        <v>1.1655141679074213E-4</v>
      </c>
      <c r="U75" s="170">
        <v>15.99147121535181</v>
      </c>
      <c r="V75" s="521">
        <f t="shared" ref="V75" si="57">U75/U$12</f>
        <v>1.4693703656045985E-4</v>
      </c>
      <c r="W75" s="170">
        <v>15.99147121535181</v>
      </c>
      <c r="X75" s="521">
        <f t="shared" ref="X75" si="58">W75/W$12</f>
        <v>1.4441816293726017E-4</v>
      </c>
      <c r="Y75" s="170">
        <v>15.99147121535181</v>
      </c>
      <c r="Z75" s="521">
        <f t="shared" ref="Z75" si="59">Y75/Y$12</f>
        <v>9.5599161980163377E-5</v>
      </c>
      <c r="AA75" s="510">
        <f t="shared" si="24"/>
        <v>191.89765458422175</v>
      </c>
      <c r="AB75" s="521">
        <f t="shared" ref="AB75" si="60">AA75/AA$12</f>
        <v>1.2311659803730329E-4</v>
      </c>
      <c r="AC75" s="194">
        <f t="shared" si="41"/>
        <v>15.991471215351813</v>
      </c>
      <c r="AD75" s="521">
        <f t="shared" ref="AD75" si="61">AC75/AC$12</f>
        <v>1.2311659803730329E-4</v>
      </c>
      <c r="AE75" s="75"/>
      <c r="AF75" s="158"/>
      <c r="AG75" s="75"/>
      <c r="AH75" s="528"/>
      <c r="AI75" s="244"/>
      <c r="AJ75" s="282"/>
      <c r="AK75" s="53"/>
      <c r="AL75" s="53"/>
      <c r="AM75" s="53"/>
      <c r="AN75" s="53"/>
      <c r="AQ75" s="53"/>
    </row>
    <row r="76" spans="1:43" ht="15.75" thickBot="1">
      <c r="A76" s="4">
        <v>6199</v>
      </c>
      <c r="B76" s="109" t="s">
        <v>24</v>
      </c>
      <c r="C76" s="27">
        <f>SUM(C42:C75)</f>
        <v>8786.2015540867087</v>
      </c>
      <c r="D76" s="68">
        <f>C76/C12</f>
        <v>7.494863546528599E-2</v>
      </c>
      <c r="E76" s="27">
        <f>SUM(E42:E75)</f>
        <v>7615.0851040867092</v>
      </c>
      <c r="F76" s="68">
        <f>E76/E12</f>
        <v>8.3494318273349216E-2</v>
      </c>
      <c r="G76" s="27">
        <f>SUM(G42:G75)</f>
        <v>10318.851968729492</v>
      </c>
      <c r="H76" s="68">
        <f>G76/G12</f>
        <v>6.8206435848381528E-2</v>
      </c>
      <c r="I76" s="27">
        <f>SUM(I42:I75)</f>
        <v>9522.278779317845</v>
      </c>
      <c r="J76" s="68">
        <f>I76/I12</f>
        <v>7.1281524964902435E-2</v>
      </c>
      <c r="K76" s="27">
        <f>SUM(K42:K75)</f>
        <v>9008.9155243635778</v>
      </c>
      <c r="L76" s="68">
        <f>K76/K12</f>
        <v>7.3735481308112721E-2</v>
      </c>
      <c r="M76" s="27">
        <f>SUM(M42:M75)</f>
        <v>11307.023370653043</v>
      </c>
      <c r="N76" s="68">
        <f>M76/M12</f>
        <v>6.5264994274637778E-2</v>
      </c>
      <c r="O76" s="27">
        <f>SUM(O42:O75)</f>
        <v>8446.6958990252897</v>
      </c>
      <c r="P76" s="68">
        <f>O76/O12</f>
        <v>7.7008620295240832E-2</v>
      </c>
      <c r="Q76" s="27">
        <f>SUM(Q42:Q75)</f>
        <v>9639.8782514004633</v>
      </c>
      <c r="R76" s="68">
        <f>Q76/Q12</f>
        <v>7.0777252136074151E-2</v>
      </c>
      <c r="S76" s="27">
        <f>SUM(S42:S75)</f>
        <v>9685.1059101345181</v>
      </c>
      <c r="T76" s="68">
        <f>S76/S12</f>
        <v>7.0588428068513662E-2</v>
      </c>
      <c r="U76" s="27">
        <f>SUM(U42:U75)</f>
        <v>8408.3137727066132</v>
      </c>
      <c r="V76" s="68">
        <f>U76/U12</f>
        <v>7.7259477354775022E-2</v>
      </c>
      <c r="W76" s="27">
        <f>SUM(W42:W75)</f>
        <v>8493.7327210331132</v>
      </c>
      <c r="X76" s="68">
        <f>W76/W12</f>
        <v>7.6706468062432892E-2</v>
      </c>
      <c r="Y76" s="27">
        <f>SUM(Y42:Y75)</f>
        <v>11038.299896641998</v>
      </c>
      <c r="Z76" s="212">
        <f>Y76/Y12</f>
        <v>6.598843881178719E-2</v>
      </c>
      <c r="AA76" s="27">
        <f>SUM(AA42:AA75)</f>
        <v>112270.38275217937</v>
      </c>
      <c r="AB76" s="234">
        <f>AA76/AA12</f>
        <v>7.2029789080761172E-2</v>
      </c>
      <c r="AC76" s="27">
        <f>SUM(AC42:AC75)</f>
        <v>9355.8652293482828</v>
      </c>
      <c r="AD76" s="234">
        <f>AC76/AC12</f>
        <v>7.2029789080761186E-2</v>
      </c>
      <c r="AE76" s="75"/>
      <c r="AF76" s="158"/>
      <c r="AG76" s="75"/>
      <c r="AH76" s="200">
        <f>SUM(AH42:AH69)</f>
        <v>135144.62900000002</v>
      </c>
      <c r="AI76" s="248">
        <f>AH76/AH12</f>
        <v>0.16783354299388817</v>
      </c>
      <c r="AJ76" s="286">
        <f t="shared" si="26"/>
        <v>256770.87698152766</v>
      </c>
      <c r="AK76" s="53">
        <f t="shared" si="27"/>
        <v>0</v>
      </c>
      <c r="AL76" s="53">
        <f t="shared" ref="AL76:AL105" si="62">C76+E76+G76+I76+K76+M76+O76+Q76+S76+U76+W76+Y76</f>
        <v>112270.38275217937</v>
      </c>
      <c r="AM76" s="53">
        <f t="shared" ref="AM76:AM105" si="63">G76*9.4+I76*9.4+K76*9.4+M76*9.4+O76*9.4+Q76*9.4+S76*9.4+U76*9.4+W76*9.4+Y76*9.4</f>
        <v>901169.50328365597</v>
      </c>
      <c r="AN76" s="53"/>
      <c r="AQ76" s="53">
        <f t="shared" ref="AQ76:AQ148" si="64">Q76*9.4</f>
        <v>90614.855563164354</v>
      </c>
    </row>
    <row r="77" spans="1:43" ht="15.75" thickTop="1">
      <c r="A77" s="98">
        <v>6201</v>
      </c>
      <c r="B77" s="108" t="s">
        <v>25</v>
      </c>
      <c r="C77" s="524">
        <v>7490</v>
      </c>
      <c r="D77" s="521">
        <f>C77/C12</f>
        <v>6.389169155513913E-2</v>
      </c>
      <c r="E77" s="524">
        <v>7490</v>
      </c>
      <c r="F77" s="521">
        <f>E77/E12</f>
        <v>8.2122843713430524E-2</v>
      </c>
      <c r="G77" s="524">
        <v>7490</v>
      </c>
      <c r="H77" s="521">
        <f>G77/G12</f>
        <v>4.9508046636633544E-2</v>
      </c>
      <c r="I77" s="524">
        <v>7490</v>
      </c>
      <c r="J77" s="521">
        <f>I77/I12</f>
        <v>5.6068367074773522E-2</v>
      </c>
      <c r="K77" s="524">
        <v>7490</v>
      </c>
      <c r="L77" s="521">
        <f>K77/K12</f>
        <v>6.1303577939452292E-2</v>
      </c>
      <c r="M77" s="524">
        <v>7490</v>
      </c>
      <c r="N77" s="521">
        <f>M77/M12</f>
        <v>4.3232846620427916E-2</v>
      </c>
      <c r="O77" s="524">
        <v>7490</v>
      </c>
      <c r="P77" s="521">
        <f>O77/O12</f>
        <v>6.8286413161614268E-2</v>
      </c>
      <c r="Q77" s="524">
        <v>7490</v>
      </c>
      <c r="R77" s="521">
        <f>Q77/Q12</f>
        <v>5.4992563668755913E-2</v>
      </c>
      <c r="S77" s="524">
        <v>7490</v>
      </c>
      <c r="T77" s="521">
        <f>S77/S12</f>
        <v>5.4589730988891583E-2</v>
      </c>
      <c r="U77" s="524">
        <v>7490</v>
      </c>
      <c r="V77" s="521">
        <f>U77/U12</f>
        <v>6.882158551999322E-2</v>
      </c>
      <c r="W77" s="524">
        <v>7490</v>
      </c>
      <c r="X77" s="521">
        <f>W77/W12</f>
        <v>6.7641808926351604E-2</v>
      </c>
      <c r="Y77" s="524">
        <v>7490</v>
      </c>
      <c r="Z77" s="168">
        <f>Y77/Y12</f>
        <v>4.4776225626071704E-2</v>
      </c>
      <c r="AA77" s="275">
        <f t="shared" ref="AA77:AA92" si="65">C77+E77+G77+I77+K77+M77+O77+Q77+S77+U77+W77+Y77</f>
        <v>89880</v>
      </c>
      <c r="AB77" s="203">
        <f>AA77/AA12</f>
        <v>5.7664695566855911E-2</v>
      </c>
      <c r="AC77" s="197">
        <f t="shared" ref="AC77:AC149" si="66">AA77/12</f>
        <v>7490</v>
      </c>
      <c r="AD77" s="203">
        <f>AC77/AC12</f>
        <v>5.7664695566855918E-2</v>
      </c>
      <c r="AE77" s="75"/>
      <c r="AF77" s="158"/>
      <c r="AG77" s="75"/>
      <c r="AH77" s="197">
        <v>84307.301999999996</v>
      </c>
      <c r="AI77" s="244">
        <f>AH77/AH12</f>
        <v>0.10469963401146865</v>
      </c>
      <c r="AJ77" s="282">
        <f t="shared" si="26"/>
        <v>181677.302</v>
      </c>
      <c r="AK77" s="53">
        <f t="shared" si="27"/>
        <v>0</v>
      </c>
      <c r="AL77" s="53">
        <f t="shared" si="62"/>
        <v>89880</v>
      </c>
      <c r="AM77" s="53">
        <f t="shared" si="63"/>
        <v>704060</v>
      </c>
      <c r="AN77" s="53"/>
      <c r="AQ77" s="53">
        <f t="shared" si="64"/>
        <v>70406</v>
      </c>
    </row>
    <row r="78" spans="1:43">
      <c r="A78" s="2">
        <v>6202</v>
      </c>
      <c r="B78" s="108" t="s">
        <v>26</v>
      </c>
      <c r="C78" s="524">
        <v>2140</v>
      </c>
      <c r="D78" s="521">
        <f>C78/C12</f>
        <v>1.8254769015754038E-2</v>
      </c>
      <c r="E78" s="524">
        <v>2140</v>
      </c>
      <c r="F78" s="521">
        <f>E78/E12</f>
        <v>2.3463669632408722E-2</v>
      </c>
      <c r="G78" s="524">
        <v>2140</v>
      </c>
      <c r="H78" s="521">
        <f>G78/G12</f>
        <v>1.41451561818953E-2</v>
      </c>
      <c r="I78" s="524">
        <v>2140</v>
      </c>
      <c r="J78" s="521">
        <f>I78/I12</f>
        <v>1.6019533449935293E-2</v>
      </c>
      <c r="K78" s="524">
        <v>2140</v>
      </c>
      <c r="L78" s="521">
        <f>K78/K12</f>
        <v>1.7515307982700654E-2</v>
      </c>
      <c r="M78" s="524">
        <v>2140</v>
      </c>
      <c r="N78" s="521">
        <f>M78/M12</f>
        <v>1.2352241891550833E-2</v>
      </c>
      <c r="O78" s="524">
        <v>2140</v>
      </c>
      <c r="P78" s="521">
        <f>O78/O12</f>
        <v>1.9510403760461221E-2</v>
      </c>
      <c r="Q78" s="524">
        <v>2140</v>
      </c>
      <c r="R78" s="521">
        <f>Q78/Q12</f>
        <v>1.5712161048215975E-2</v>
      </c>
      <c r="S78" s="524">
        <v>2140</v>
      </c>
      <c r="T78" s="521">
        <f>S78/S12</f>
        <v>1.5597065996826167E-2</v>
      </c>
      <c r="U78" s="524">
        <v>2140</v>
      </c>
      <c r="V78" s="521">
        <f>U78/U12</f>
        <v>1.966331014856949E-2</v>
      </c>
      <c r="W78" s="524">
        <v>2140</v>
      </c>
      <c r="X78" s="521">
        <f>W78/W12</f>
        <v>1.9326231121814745E-2</v>
      </c>
      <c r="Y78" s="524">
        <v>2140</v>
      </c>
      <c r="Z78" s="168">
        <f>Y78/Y12</f>
        <v>1.2793207321734772E-2</v>
      </c>
      <c r="AA78" s="275">
        <f t="shared" si="65"/>
        <v>25680</v>
      </c>
      <c r="AB78" s="203">
        <f>AA78/AA12</f>
        <v>1.6475627304815974E-2</v>
      </c>
      <c r="AC78" s="197">
        <f t="shared" si="66"/>
        <v>2140</v>
      </c>
      <c r="AD78" s="203">
        <f>AC78/AC12</f>
        <v>1.6475627304815974E-2</v>
      </c>
      <c r="AE78" s="75"/>
      <c r="AF78" s="158"/>
      <c r="AG78" s="75"/>
      <c r="AH78" s="197">
        <v>24087.8</v>
      </c>
      <c r="AI78" s="244">
        <f>AH78/AH12</f>
        <v>2.9914180436487629E-2</v>
      </c>
      <c r="AJ78" s="282">
        <f t="shared" si="26"/>
        <v>51907.8</v>
      </c>
      <c r="AK78" s="53">
        <f t="shared" si="27"/>
        <v>0</v>
      </c>
      <c r="AL78" s="53">
        <f t="shared" si="62"/>
        <v>25680</v>
      </c>
      <c r="AM78" s="53">
        <f t="shared" si="63"/>
        <v>201160</v>
      </c>
      <c r="AN78" s="53"/>
      <c r="AQ78" s="53">
        <f t="shared" si="64"/>
        <v>20116</v>
      </c>
    </row>
    <row r="79" spans="1:43">
      <c r="A79" s="2">
        <v>6203</v>
      </c>
      <c r="B79" s="108" t="s">
        <v>27</v>
      </c>
      <c r="C79" s="524">
        <v>1070</v>
      </c>
      <c r="D79" s="521">
        <f>C79/C12</f>
        <v>9.1273845078770188E-3</v>
      </c>
      <c r="E79" s="524">
        <v>1070</v>
      </c>
      <c r="F79" s="521">
        <f>E79/E12</f>
        <v>1.1731834816204361E-2</v>
      </c>
      <c r="G79" s="524">
        <v>1070</v>
      </c>
      <c r="H79" s="521">
        <f>G79/G12</f>
        <v>7.07257809094765E-3</v>
      </c>
      <c r="I79" s="524">
        <v>1070</v>
      </c>
      <c r="J79" s="521">
        <f>I79/I12</f>
        <v>8.0097667249676464E-3</v>
      </c>
      <c r="K79" s="524">
        <v>1070</v>
      </c>
      <c r="L79" s="521">
        <f>K79/K12</f>
        <v>8.7576539913503271E-3</v>
      </c>
      <c r="M79" s="524">
        <v>1070</v>
      </c>
      <c r="N79" s="521">
        <f>M79/M12</f>
        <v>6.1761209457754165E-3</v>
      </c>
      <c r="O79" s="524">
        <v>1070</v>
      </c>
      <c r="P79" s="521">
        <f>O79/O12</f>
        <v>9.7552018802306104E-3</v>
      </c>
      <c r="Q79" s="524">
        <v>1070</v>
      </c>
      <c r="R79" s="521">
        <f>Q79/Q12</f>
        <v>7.8560805241079876E-3</v>
      </c>
      <c r="S79" s="524">
        <v>1070</v>
      </c>
      <c r="T79" s="521">
        <f>S79/S12</f>
        <v>7.7985329984130835E-3</v>
      </c>
      <c r="U79" s="524">
        <v>1070</v>
      </c>
      <c r="V79" s="521">
        <f>U79/U12</f>
        <v>9.8316550742847449E-3</v>
      </c>
      <c r="W79" s="524">
        <v>1070</v>
      </c>
      <c r="X79" s="521">
        <f>W79/W12</f>
        <v>9.6631155609073725E-3</v>
      </c>
      <c r="Y79" s="524">
        <v>1070</v>
      </c>
      <c r="Z79" s="168">
        <f>Y79/Y12</f>
        <v>6.3966036608673858E-3</v>
      </c>
      <c r="AA79" s="275">
        <f t="shared" si="65"/>
        <v>12840</v>
      </c>
      <c r="AB79" s="203">
        <f>AA79/AA12</f>
        <v>8.2378136524079871E-3</v>
      </c>
      <c r="AC79" s="197">
        <f t="shared" si="66"/>
        <v>1070</v>
      </c>
      <c r="AD79" s="203">
        <f>AC79/AC12</f>
        <v>8.2378136524079871E-3</v>
      </c>
      <c r="AE79" s="75"/>
      <c r="AF79" s="158"/>
      <c r="AG79" s="75"/>
      <c r="AH79" s="197">
        <v>12043.9</v>
      </c>
      <c r="AI79" s="244">
        <f>AH79/AH12</f>
        <v>1.4957090218243815E-2</v>
      </c>
      <c r="AJ79" s="282">
        <f t="shared" si="26"/>
        <v>25953.9</v>
      </c>
      <c r="AK79" s="53">
        <f t="shared" si="27"/>
        <v>0</v>
      </c>
      <c r="AL79" s="53">
        <f t="shared" si="62"/>
        <v>12840</v>
      </c>
      <c r="AM79" s="53">
        <f t="shared" si="63"/>
        <v>100580</v>
      </c>
      <c r="AN79" s="53"/>
      <c r="AQ79" s="53">
        <f t="shared" si="64"/>
        <v>10058</v>
      </c>
    </row>
    <row r="80" spans="1:43">
      <c r="A80" s="2">
        <v>6204</v>
      </c>
      <c r="B80" s="108" t="s">
        <v>28</v>
      </c>
      <c r="C80" s="524">
        <v>0</v>
      </c>
      <c r="D80" s="521">
        <f>C80/C12</f>
        <v>0</v>
      </c>
      <c r="E80" s="524">
        <v>0</v>
      </c>
      <c r="F80" s="521">
        <f>E80/E12</f>
        <v>0</v>
      </c>
      <c r="G80" s="524">
        <v>0</v>
      </c>
      <c r="H80" s="521">
        <f>G80/G12</f>
        <v>0</v>
      </c>
      <c r="I80" s="524">
        <v>0</v>
      </c>
      <c r="J80" s="521">
        <f>I80/I12</f>
        <v>0</v>
      </c>
      <c r="K80" s="524">
        <v>0</v>
      </c>
      <c r="L80" s="521">
        <f>K80/K12</f>
        <v>0</v>
      </c>
      <c r="M80" s="524">
        <v>0</v>
      </c>
      <c r="N80" s="521">
        <f>M80/M12</f>
        <v>0</v>
      </c>
      <c r="O80" s="524">
        <v>0</v>
      </c>
      <c r="P80" s="521">
        <f>O80/O12</f>
        <v>0</v>
      </c>
      <c r="Q80" s="524">
        <v>0</v>
      </c>
      <c r="R80" s="521">
        <f>Q80/Q12</f>
        <v>0</v>
      </c>
      <c r="S80" s="524">
        <v>0</v>
      </c>
      <c r="T80" s="521">
        <f>S80/S12</f>
        <v>0</v>
      </c>
      <c r="U80" s="524">
        <v>0</v>
      </c>
      <c r="V80" s="521">
        <f>U80/U12</f>
        <v>0</v>
      </c>
      <c r="W80" s="524">
        <v>0</v>
      </c>
      <c r="X80" s="521">
        <f>W80/W12</f>
        <v>0</v>
      </c>
      <c r="Y80" s="524">
        <v>0</v>
      </c>
      <c r="Z80" s="168">
        <f>Y80/Y12</f>
        <v>0</v>
      </c>
      <c r="AA80" s="275">
        <f t="shared" si="65"/>
        <v>0</v>
      </c>
      <c r="AB80" s="203">
        <f>AA80/AA12</f>
        <v>0</v>
      </c>
      <c r="AC80" s="194">
        <f t="shared" si="66"/>
        <v>0</v>
      </c>
      <c r="AD80" s="203">
        <f>AC80/AC12</f>
        <v>0</v>
      </c>
      <c r="AE80" s="75"/>
      <c r="AF80" s="158"/>
      <c r="AG80" s="75"/>
      <c r="AH80" s="194">
        <v>0</v>
      </c>
      <c r="AI80" s="244">
        <f>AH80/AH12</f>
        <v>0</v>
      </c>
      <c r="AJ80" s="282">
        <f t="shared" si="26"/>
        <v>0</v>
      </c>
      <c r="AK80" s="53">
        <f t="shared" si="27"/>
        <v>0</v>
      </c>
      <c r="AL80" s="53">
        <f t="shared" si="62"/>
        <v>0</v>
      </c>
      <c r="AM80" s="53">
        <f t="shared" si="63"/>
        <v>0</v>
      </c>
      <c r="AN80" s="53"/>
      <c r="AQ80" s="53">
        <f t="shared" si="64"/>
        <v>0</v>
      </c>
    </row>
    <row r="81" spans="1:43">
      <c r="A81" s="2">
        <v>6205</v>
      </c>
      <c r="B81" s="108" t="s">
        <v>29</v>
      </c>
      <c r="C81" s="524">
        <v>0</v>
      </c>
      <c r="D81" s="521">
        <f>C81/C12</f>
        <v>0</v>
      </c>
      <c r="E81" s="524">
        <v>0</v>
      </c>
      <c r="F81" s="521">
        <f>E81/E12</f>
        <v>0</v>
      </c>
      <c r="G81" s="524">
        <v>0</v>
      </c>
      <c r="H81" s="521">
        <f>G81/G12</f>
        <v>0</v>
      </c>
      <c r="I81" s="524">
        <v>0</v>
      </c>
      <c r="J81" s="521">
        <f>I81/I12</f>
        <v>0</v>
      </c>
      <c r="K81" s="524">
        <v>0</v>
      </c>
      <c r="L81" s="521">
        <f>K81/K12</f>
        <v>0</v>
      </c>
      <c r="M81" s="524">
        <v>0</v>
      </c>
      <c r="N81" s="521">
        <f>M81/M12</f>
        <v>0</v>
      </c>
      <c r="O81" s="524">
        <v>0</v>
      </c>
      <c r="P81" s="521">
        <f>O81/O12</f>
        <v>0</v>
      </c>
      <c r="Q81" s="524">
        <v>0</v>
      </c>
      <c r="R81" s="521">
        <f>Q81/Q12</f>
        <v>0</v>
      </c>
      <c r="S81" s="524">
        <v>0</v>
      </c>
      <c r="T81" s="521">
        <f>S81/S12</f>
        <v>0</v>
      </c>
      <c r="U81" s="524">
        <v>0</v>
      </c>
      <c r="V81" s="521">
        <f>U81/U12</f>
        <v>0</v>
      </c>
      <c r="W81" s="524">
        <v>0</v>
      </c>
      <c r="X81" s="521">
        <f>W81/W12</f>
        <v>0</v>
      </c>
      <c r="Y81" s="524">
        <v>0</v>
      </c>
      <c r="Z81" s="168">
        <f>Y81/Y12</f>
        <v>0</v>
      </c>
      <c r="AA81" s="275">
        <f t="shared" si="65"/>
        <v>0</v>
      </c>
      <c r="AB81" s="203">
        <f>AA81/AA12</f>
        <v>0</v>
      </c>
      <c r="AC81" s="194">
        <f t="shared" si="66"/>
        <v>0</v>
      </c>
      <c r="AD81" s="203">
        <f>AC81/AC12</f>
        <v>0</v>
      </c>
      <c r="AE81" s="75"/>
      <c r="AF81" s="158"/>
      <c r="AG81" s="75"/>
      <c r="AH81" s="194">
        <v>0</v>
      </c>
      <c r="AI81" s="244">
        <f>AH81/AH12</f>
        <v>0</v>
      </c>
      <c r="AJ81" s="282">
        <f t="shared" si="26"/>
        <v>0</v>
      </c>
      <c r="AK81" s="53">
        <f t="shared" si="27"/>
        <v>0</v>
      </c>
      <c r="AL81" s="53">
        <f t="shared" si="62"/>
        <v>0</v>
      </c>
      <c r="AM81" s="53">
        <f t="shared" si="63"/>
        <v>0</v>
      </c>
      <c r="AN81" s="53"/>
      <c r="AQ81" s="53">
        <f t="shared" si="64"/>
        <v>0</v>
      </c>
    </row>
    <row r="82" spans="1:43">
      <c r="A82" s="2">
        <v>6206</v>
      </c>
      <c r="B82" s="2" t="s">
        <v>174</v>
      </c>
      <c r="C82" s="524">
        <v>50.075999999999993</v>
      </c>
      <c r="D82" s="521">
        <f>C82/C12</f>
        <v>4.2716159496864441E-4</v>
      </c>
      <c r="E82" s="524">
        <v>50.075999999999993</v>
      </c>
      <c r="F82" s="521">
        <f>E82/E12</f>
        <v>5.4904986939836398E-4</v>
      </c>
      <c r="G82" s="524">
        <v>50.075999999999993</v>
      </c>
      <c r="H82" s="521">
        <f>G82/G12</f>
        <v>3.3099665465634998E-4</v>
      </c>
      <c r="I82" s="524">
        <v>50.075999999999993</v>
      </c>
      <c r="J82" s="521">
        <f>I82/I12</f>
        <v>3.7485708272848577E-4</v>
      </c>
      <c r="K82" s="524">
        <v>50.075999999999993</v>
      </c>
      <c r="L82" s="521">
        <f>K82/K12</f>
        <v>4.0985820679519526E-4</v>
      </c>
      <c r="M82" s="524">
        <v>50.075999999999993</v>
      </c>
      <c r="N82" s="521">
        <f>M82/M12</f>
        <v>2.8904246026228948E-4</v>
      </c>
      <c r="O82" s="524">
        <v>50.075999999999993</v>
      </c>
      <c r="P82" s="521">
        <f>O82/O12</f>
        <v>4.5654344799479248E-4</v>
      </c>
      <c r="Q82" s="524">
        <v>50.075999999999993</v>
      </c>
      <c r="R82" s="521">
        <f>Q82/Q12</f>
        <v>3.6766456852825379E-4</v>
      </c>
      <c r="S82" s="524">
        <v>50.075999999999993</v>
      </c>
      <c r="T82" s="521">
        <f>S82/S12</f>
        <v>3.6497134432573227E-4</v>
      </c>
      <c r="U82" s="524">
        <v>50.075999999999993</v>
      </c>
      <c r="V82" s="521">
        <f>U82/U12</f>
        <v>4.6012145747652598E-4</v>
      </c>
      <c r="W82" s="524">
        <v>50.075999999999993</v>
      </c>
      <c r="X82" s="521">
        <f>W82/W12</f>
        <v>4.5223380825046495E-4</v>
      </c>
      <c r="Y82" s="524">
        <v>50.075999999999993</v>
      </c>
      <c r="Z82" s="168">
        <f>Y82/Y12</f>
        <v>2.9936105132859361E-4</v>
      </c>
      <c r="AA82" s="275">
        <f t="shared" si="65"/>
        <v>600.91200000000003</v>
      </c>
      <c r="AB82" s="203">
        <f>AA82/AA12</f>
        <v>3.8552967893269383E-4</v>
      </c>
      <c r="AC82" s="194">
        <f t="shared" si="66"/>
        <v>50.076000000000001</v>
      </c>
      <c r="AD82" s="203">
        <f>AC82/AC12</f>
        <v>3.8552967893269383E-4</v>
      </c>
      <c r="AE82" s="75"/>
      <c r="AF82" s="158"/>
      <c r="AG82" s="75"/>
      <c r="AH82" s="194">
        <v>0</v>
      </c>
      <c r="AI82" s="244">
        <f>AH82/AH12</f>
        <v>0</v>
      </c>
      <c r="AJ82" s="282">
        <f t="shared" si="26"/>
        <v>650.98800000000006</v>
      </c>
      <c r="AK82" s="53">
        <f t="shared" si="27"/>
        <v>0</v>
      </c>
      <c r="AL82" s="53">
        <f t="shared" si="62"/>
        <v>600.91200000000003</v>
      </c>
      <c r="AM82" s="53">
        <f t="shared" si="63"/>
        <v>4707.1439999999993</v>
      </c>
      <c r="AN82" s="53" t="s">
        <v>231</v>
      </c>
      <c r="AQ82" s="53">
        <f t="shared" si="64"/>
        <v>470.71439999999996</v>
      </c>
    </row>
    <row r="83" spans="1:43">
      <c r="A83" s="2">
        <v>6207</v>
      </c>
      <c r="B83" s="2" t="s">
        <v>175</v>
      </c>
      <c r="C83" s="524">
        <v>275</v>
      </c>
      <c r="D83" s="521">
        <f>C83/C12</f>
        <v>2.3458231211833458E-3</v>
      </c>
      <c r="E83" s="524">
        <v>275</v>
      </c>
      <c r="F83" s="521">
        <f>E83/E12</f>
        <v>3.0151911910805602E-3</v>
      </c>
      <c r="G83" s="524">
        <v>275</v>
      </c>
      <c r="H83" s="521">
        <f>G83/G12</f>
        <v>1.8177186682342091E-3</v>
      </c>
      <c r="I83" s="524">
        <v>275</v>
      </c>
      <c r="J83" s="521">
        <f>I83/I12</f>
        <v>2.0585849059496287E-3</v>
      </c>
      <c r="K83" s="524">
        <v>275</v>
      </c>
      <c r="L83" s="521">
        <f>K83/K12</f>
        <v>2.2507989230105981E-3</v>
      </c>
      <c r="M83" s="524">
        <v>275</v>
      </c>
      <c r="N83" s="521">
        <f>M83/M12</f>
        <v>1.5873208038207848E-3</v>
      </c>
      <c r="O83" s="524">
        <v>275</v>
      </c>
      <c r="P83" s="521">
        <f>O83/O12</f>
        <v>2.5071780533302969E-3</v>
      </c>
      <c r="Q83" s="524">
        <v>275</v>
      </c>
      <c r="R83" s="521">
        <f>Q83/Q12</f>
        <v>2.0190861160090624E-3</v>
      </c>
      <c r="S83" s="524">
        <v>275</v>
      </c>
      <c r="T83" s="521">
        <f>S83/S12</f>
        <v>2.004295864078129E-3</v>
      </c>
      <c r="U83" s="524">
        <v>275</v>
      </c>
      <c r="V83" s="521">
        <f>U83/U12</f>
        <v>2.526827238718042E-3</v>
      </c>
      <c r="W83" s="524">
        <v>275</v>
      </c>
      <c r="X83" s="521">
        <f>W83/W12</f>
        <v>2.483511008644418E-3</v>
      </c>
      <c r="Y83" s="524">
        <v>275</v>
      </c>
      <c r="Z83" s="168">
        <f>Y83/Y12</f>
        <v>1.643986922185543E-3</v>
      </c>
      <c r="AA83" s="275">
        <f t="shared" si="65"/>
        <v>3300</v>
      </c>
      <c r="AB83" s="203">
        <f>AA83/AA12</f>
        <v>2.117195097581492E-3</v>
      </c>
      <c r="AC83" s="194">
        <f>AA83/12</f>
        <v>275</v>
      </c>
      <c r="AD83" s="203">
        <f>AC83/AC12</f>
        <v>2.117195097581492E-3</v>
      </c>
      <c r="AE83" s="75"/>
      <c r="AF83" s="158"/>
      <c r="AG83" s="75"/>
      <c r="AH83" s="194">
        <v>1135.0999999999999</v>
      </c>
      <c r="AI83" s="244">
        <f>AH83/AH12</f>
        <v>1.4096590893920202E-3</v>
      </c>
      <c r="AJ83" s="282">
        <f t="shared" si="26"/>
        <v>4710.1000000000004</v>
      </c>
      <c r="AK83" s="53">
        <f t="shared" si="27"/>
        <v>0</v>
      </c>
      <c r="AL83" s="53">
        <f t="shared" si="62"/>
        <v>3300</v>
      </c>
      <c r="AM83" s="53">
        <f t="shared" si="63"/>
        <v>25850</v>
      </c>
      <c r="AN83" s="53"/>
      <c r="AQ83" s="53">
        <f t="shared" si="64"/>
        <v>2585</v>
      </c>
    </row>
    <row r="84" spans="1:43">
      <c r="A84" s="2">
        <v>6208</v>
      </c>
      <c r="B84" s="2" t="s">
        <v>176</v>
      </c>
      <c r="C84" s="524">
        <v>0</v>
      </c>
      <c r="D84" s="521">
        <f>C84/C12</f>
        <v>0</v>
      </c>
      <c r="E84" s="524">
        <v>0</v>
      </c>
      <c r="F84" s="521">
        <f>E84/E12</f>
        <v>0</v>
      </c>
      <c r="G84" s="524">
        <v>0</v>
      </c>
      <c r="H84" s="521">
        <f>G84/G12</f>
        <v>0</v>
      </c>
      <c r="I84" s="524">
        <v>0</v>
      </c>
      <c r="J84" s="521">
        <f>I84/I12</f>
        <v>0</v>
      </c>
      <c r="K84" s="524">
        <v>0</v>
      </c>
      <c r="L84" s="521">
        <f>K84/K12</f>
        <v>0</v>
      </c>
      <c r="M84" s="524">
        <v>0</v>
      </c>
      <c r="N84" s="521">
        <f>M84/M12</f>
        <v>0</v>
      </c>
      <c r="O84" s="524">
        <v>0</v>
      </c>
      <c r="P84" s="521">
        <f>O84/O12</f>
        <v>0</v>
      </c>
      <c r="Q84" s="524">
        <v>0</v>
      </c>
      <c r="R84" s="521">
        <f>Q84/Q12</f>
        <v>0</v>
      </c>
      <c r="S84" s="524">
        <v>0</v>
      </c>
      <c r="T84" s="521">
        <f>S84/S12</f>
        <v>0</v>
      </c>
      <c r="U84" s="524">
        <v>0</v>
      </c>
      <c r="V84" s="521">
        <f>U84/U12</f>
        <v>0</v>
      </c>
      <c r="W84" s="524">
        <v>0</v>
      </c>
      <c r="X84" s="521">
        <f>W84/W12</f>
        <v>0</v>
      </c>
      <c r="Y84" s="524">
        <v>0</v>
      </c>
      <c r="Z84" s="168">
        <f>Y84/Y12</f>
        <v>0</v>
      </c>
      <c r="AA84" s="275">
        <f t="shared" si="65"/>
        <v>0</v>
      </c>
      <c r="AB84" s="203">
        <f>AA84/AA12</f>
        <v>0</v>
      </c>
      <c r="AC84" s="194">
        <f t="shared" si="66"/>
        <v>0</v>
      </c>
      <c r="AD84" s="203">
        <f>AC84/AC12</f>
        <v>0</v>
      </c>
      <c r="AE84" s="75"/>
      <c r="AF84" s="158"/>
      <c r="AG84" s="75"/>
      <c r="AH84" s="194">
        <v>0</v>
      </c>
      <c r="AI84" s="244">
        <f>AH84/AH12</f>
        <v>0</v>
      </c>
      <c r="AJ84" s="282">
        <f t="shared" si="26"/>
        <v>0</v>
      </c>
      <c r="AK84" s="53">
        <f t="shared" si="27"/>
        <v>0</v>
      </c>
      <c r="AL84" s="53">
        <f t="shared" si="62"/>
        <v>0</v>
      </c>
      <c r="AM84" s="53">
        <f t="shared" si="63"/>
        <v>0</v>
      </c>
      <c r="AN84" s="53"/>
      <c r="AQ84" s="53">
        <f t="shared" si="64"/>
        <v>0</v>
      </c>
    </row>
    <row r="85" spans="1:43">
      <c r="A85" s="2">
        <v>6209</v>
      </c>
      <c r="B85" s="108" t="s">
        <v>30</v>
      </c>
      <c r="C85" s="524">
        <v>708.99122807017545</v>
      </c>
      <c r="D85" s="521">
        <f>C85/C12</f>
        <v>6.0478836928116089E-3</v>
      </c>
      <c r="E85" s="524">
        <v>708.99122807017545</v>
      </c>
      <c r="F85" s="521">
        <f>E85/E12</f>
        <v>7.7736149288384774E-3</v>
      </c>
      <c r="G85" s="524">
        <v>708.99122807017545</v>
      </c>
      <c r="H85" s="521">
        <f>G85/G12</f>
        <v>4.6863512395543842E-3</v>
      </c>
      <c r="I85" s="524">
        <v>708.99122807017545</v>
      </c>
      <c r="J85" s="521">
        <f>I85/I12</f>
        <v>5.3073405111125592E-3</v>
      </c>
      <c r="K85" s="524">
        <v>708.99122807017545</v>
      </c>
      <c r="L85" s="521">
        <f>K85/K12</f>
        <v>5.8028970638702264E-3</v>
      </c>
      <c r="M85" s="524">
        <v>708.99122807017545</v>
      </c>
      <c r="N85" s="521">
        <f>M85/M12</f>
        <v>4.0923510037899494E-3</v>
      </c>
      <c r="O85" s="524">
        <v>708.99122807017545</v>
      </c>
      <c r="P85" s="521">
        <f>O85/O12</f>
        <v>6.4638808982590513E-3</v>
      </c>
      <c r="Q85" s="524">
        <v>708.99122807017545</v>
      </c>
      <c r="R85" s="521">
        <f>Q85/Q12</f>
        <v>5.2055067089771118E-3</v>
      </c>
      <c r="S85" s="524">
        <v>708.99122807017545</v>
      </c>
      <c r="T85" s="521">
        <f>S85/S12</f>
        <v>5.1673752221408223E-3</v>
      </c>
      <c r="U85" s="524">
        <v>708.99122807017545</v>
      </c>
      <c r="V85" s="521">
        <f>U85/U12</f>
        <v>6.5145394439995452E-3</v>
      </c>
      <c r="W85" s="524">
        <v>708.99122807017545</v>
      </c>
      <c r="X85" s="521">
        <f>W85/W12</f>
        <v>6.4028637088894766E-3</v>
      </c>
      <c r="Y85" s="524">
        <v>708.99122807017545</v>
      </c>
      <c r="Z85" s="168">
        <f>Y85/Y12</f>
        <v>4.2384447523332227E-3</v>
      </c>
      <c r="AA85" s="275">
        <f t="shared" si="65"/>
        <v>8507.894736842105</v>
      </c>
      <c r="AB85" s="203">
        <f>AA85/AA12</f>
        <v>5.4584463719943889E-3</v>
      </c>
      <c r="AC85" s="194">
        <f t="shared" si="66"/>
        <v>708.99122807017545</v>
      </c>
      <c r="AD85" s="203">
        <f>AC85/AC12</f>
        <v>5.4584463719943898E-3</v>
      </c>
      <c r="AE85" s="75"/>
      <c r="AF85" s="158"/>
      <c r="AG85" s="75"/>
      <c r="AH85" s="194">
        <v>7806.3899999999994</v>
      </c>
      <c r="AI85" s="244">
        <f>AH85/AH12</f>
        <v>9.6946071877710982E-3</v>
      </c>
      <c r="AJ85" s="282">
        <f t="shared" si="26"/>
        <v>17023.275964912282</v>
      </c>
      <c r="AK85" s="53">
        <f t="shared" si="27"/>
        <v>0</v>
      </c>
      <c r="AL85" s="53">
        <f t="shared" si="62"/>
        <v>8507.894736842105</v>
      </c>
      <c r="AM85" s="53">
        <f t="shared" si="63"/>
        <v>66645.175438596503</v>
      </c>
      <c r="AN85" s="53"/>
      <c r="AQ85" s="53">
        <f t="shared" si="64"/>
        <v>6664.5175438596498</v>
      </c>
    </row>
    <row r="86" spans="1:43">
      <c r="A86" s="2">
        <v>6210</v>
      </c>
      <c r="B86" s="108" t="s">
        <v>31</v>
      </c>
      <c r="C86" s="524">
        <v>323.36861768368618</v>
      </c>
      <c r="D86" s="521">
        <f>C86/C12</f>
        <v>2.7584202910090503E-3</v>
      </c>
      <c r="E86" s="524">
        <v>323.36861768368618</v>
      </c>
      <c r="F86" s="521">
        <f>E86/E12</f>
        <v>3.5455207545881744E-3</v>
      </c>
      <c r="G86" s="524">
        <v>323.36861768368618</v>
      </c>
      <c r="H86" s="521">
        <f>G86/G12</f>
        <v>2.1374297203080989E-3</v>
      </c>
      <c r="I86" s="524">
        <v>323.36861768368618</v>
      </c>
      <c r="J86" s="521">
        <f>I86/I12</f>
        <v>2.4206609288052092E-3</v>
      </c>
      <c r="K86" s="524">
        <v>323.36861768368618</v>
      </c>
      <c r="L86" s="521">
        <f>K86/K12</f>
        <v>2.6466826778831515E-3</v>
      </c>
      <c r="M86" s="524">
        <v>323.36861768368618</v>
      </c>
      <c r="N86" s="521">
        <f>M86/M12</f>
        <v>1.8665081241893992E-3</v>
      </c>
      <c r="O86" s="524">
        <v>323.36861768368618</v>
      </c>
      <c r="P86" s="521">
        <f>O86/O12</f>
        <v>2.9481552777901577E-3</v>
      </c>
      <c r="Q86" s="524">
        <v>323.36861768368618</v>
      </c>
      <c r="R86" s="521">
        <f>Q86/Q12</f>
        <v>2.3742148593388118E-3</v>
      </c>
      <c r="S86" s="524">
        <v>323.36861768368618</v>
      </c>
      <c r="T86" s="521">
        <f>S86/S12</f>
        <v>2.3568232108948143E-3</v>
      </c>
      <c r="U86" s="524">
        <v>323.36861768368618</v>
      </c>
      <c r="V86" s="521">
        <f>U86/U12</f>
        <v>2.9712604774899598E-3</v>
      </c>
      <c r="W86" s="524">
        <v>323.36861768368618</v>
      </c>
      <c r="X86" s="521">
        <f>W86/W12</f>
        <v>2.920325534063864E-3</v>
      </c>
      <c r="Y86" s="524">
        <v>323.36861768368618</v>
      </c>
      <c r="Z86" s="168">
        <f>Y86/Y12</f>
        <v>1.9331410127898067E-3</v>
      </c>
      <c r="AA86" s="275">
        <f t="shared" si="65"/>
        <v>3880.4234122042349</v>
      </c>
      <c r="AB86" s="203">
        <f>AA86/AA12</f>
        <v>2.4895798257149248E-3</v>
      </c>
      <c r="AC86" s="194">
        <f t="shared" si="66"/>
        <v>323.36861768368624</v>
      </c>
      <c r="AD86" s="203">
        <f>AC86/AC12</f>
        <v>2.4895798257149248E-3</v>
      </c>
      <c r="AE86" s="75"/>
      <c r="AF86" s="158"/>
      <c r="AG86" s="75"/>
      <c r="AH86" s="194">
        <v>2100.39</v>
      </c>
      <c r="AI86" s="244">
        <f>AH86/AH12</f>
        <v>2.6084343712167259E-3</v>
      </c>
      <c r="AJ86" s="282">
        <f t="shared" si="26"/>
        <v>6304.1820298879211</v>
      </c>
      <c r="AK86" s="53">
        <f t="shared" si="27"/>
        <v>0</v>
      </c>
      <c r="AL86" s="53">
        <f t="shared" si="62"/>
        <v>3880.4234122042349</v>
      </c>
      <c r="AM86" s="53">
        <f t="shared" si="63"/>
        <v>30396.650062266497</v>
      </c>
      <c r="AN86" s="53"/>
      <c r="AQ86" s="53">
        <f t="shared" si="64"/>
        <v>3039.6650062266503</v>
      </c>
    </row>
    <row r="87" spans="1:43">
      <c r="A87" s="2">
        <v>6211</v>
      </c>
      <c r="B87" s="108" t="s">
        <v>32</v>
      </c>
      <c r="C87" s="524">
        <v>337.5</v>
      </c>
      <c r="D87" s="521">
        <f>C87/C12</f>
        <v>2.878964739634106E-3</v>
      </c>
      <c r="E87" s="524">
        <v>337.5</v>
      </c>
      <c r="F87" s="521">
        <f>E87/E12</f>
        <v>3.7004619163261421E-3</v>
      </c>
      <c r="G87" s="524">
        <v>337.5</v>
      </c>
      <c r="H87" s="521">
        <f>G87/G12</f>
        <v>2.2308365473783474E-3</v>
      </c>
      <c r="I87" s="524">
        <v>337.5</v>
      </c>
      <c r="J87" s="521">
        <f>I87/I12</f>
        <v>2.5264451118472715E-3</v>
      </c>
      <c r="K87" s="524">
        <v>337.5</v>
      </c>
      <c r="L87" s="521">
        <f>K87/K12</f>
        <v>2.7623441327857341E-3</v>
      </c>
      <c r="M87" s="524">
        <v>337.5</v>
      </c>
      <c r="N87" s="521">
        <f>M87/M12</f>
        <v>1.9480755319618722E-3</v>
      </c>
      <c r="O87" s="524">
        <v>337.5</v>
      </c>
      <c r="P87" s="521">
        <f>O87/O12</f>
        <v>3.0769912472690007E-3</v>
      </c>
      <c r="Q87" s="524">
        <v>337.5</v>
      </c>
      <c r="R87" s="521">
        <f>Q87/Q12</f>
        <v>2.4779693241929399E-3</v>
      </c>
      <c r="S87" s="524">
        <v>337.5</v>
      </c>
      <c r="T87" s="521">
        <f>S87/S12</f>
        <v>2.4598176513686127E-3</v>
      </c>
      <c r="U87" s="524">
        <v>337.5</v>
      </c>
      <c r="V87" s="521">
        <f>U87/U12</f>
        <v>3.1011061566085059E-3</v>
      </c>
      <c r="W87" s="524">
        <v>337.5</v>
      </c>
      <c r="X87" s="521">
        <f>W87/W12</f>
        <v>3.0479453287908767E-3</v>
      </c>
      <c r="Y87" s="524">
        <v>337.5</v>
      </c>
      <c r="Z87" s="168">
        <f>Y87/Y12</f>
        <v>2.0176203135913486E-3</v>
      </c>
      <c r="AA87" s="275">
        <f t="shared" si="65"/>
        <v>4050</v>
      </c>
      <c r="AB87" s="203">
        <f>AA87/AA12</f>
        <v>2.5983758015772859E-3</v>
      </c>
      <c r="AC87" s="194">
        <f t="shared" si="66"/>
        <v>337.5</v>
      </c>
      <c r="AD87" s="203">
        <f>AC87/AC12</f>
        <v>2.5983758015772859E-3</v>
      </c>
      <c r="AE87" s="75"/>
      <c r="AF87" s="158"/>
      <c r="AG87" s="75"/>
      <c r="AH87" s="194">
        <v>2377.6</v>
      </c>
      <c r="AI87" s="244">
        <f>AH87/AH12</f>
        <v>2.9526961949946856E-3</v>
      </c>
      <c r="AJ87" s="282">
        <f t="shared" si="26"/>
        <v>6765.1</v>
      </c>
      <c r="AK87" s="53">
        <f t="shared" si="27"/>
        <v>0</v>
      </c>
      <c r="AL87" s="53">
        <f t="shared" si="62"/>
        <v>4050</v>
      </c>
      <c r="AM87" s="53">
        <f t="shared" si="63"/>
        <v>31725</v>
      </c>
      <c r="AN87" s="53"/>
      <c r="AQ87" s="53">
        <f t="shared" si="64"/>
        <v>3172.5</v>
      </c>
    </row>
    <row r="88" spans="1:43">
      <c r="A88" s="98">
        <v>6212</v>
      </c>
      <c r="B88" s="108" t="s">
        <v>33</v>
      </c>
      <c r="C88" s="524">
        <v>25</v>
      </c>
      <c r="D88" s="521">
        <f>C88/C12</f>
        <v>2.1325664738030417E-4</v>
      </c>
      <c r="E88" s="524">
        <v>25</v>
      </c>
      <c r="F88" s="521">
        <f>E88/E12</f>
        <v>2.7410829009823272E-4</v>
      </c>
      <c r="G88" s="524">
        <v>25</v>
      </c>
      <c r="H88" s="521">
        <f>G88/G12</f>
        <v>1.6524715165765536E-4</v>
      </c>
      <c r="I88" s="524">
        <v>25</v>
      </c>
      <c r="J88" s="521">
        <f>I88/I12</f>
        <v>1.8714408235905714E-4</v>
      </c>
      <c r="K88" s="524">
        <v>25</v>
      </c>
      <c r="L88" s="521">
        <f>K88/K12</f>
        <v>2.0461808391005439E-4</v>
      </c>
      <c r="M88" s="524">
        <v>25</v>
      </c>
      <c r="N88" s="521">
        <f>M88/M12</f>
        <v>1.4430189125643497E-4</v>
      </c>
      <c r="O88" s="524">
        <v>25</v>
      </c>
      <c r="P88" s="521">
        <f>O88/O12</f>
        <v>2.2792527757548153E-4</v>
      </c>
      <c r="Q88" s="524">
        <v>25</v>
      </c>
      <c r="R88" s="521">
        <f>Q88/Q12</f>
        <v>1.8355328327355111E-4</v>
      </c>
      <c r="S88" s="524">
        <v>25</v>
      </c>
      <c r="T88" s="521">
        <f>S88/S12</f>
        <v>1.8220871491619355E-4</v>
      </c>
      <c r="U88" s="524">
        <v>25</v>
      </c>
      <c r="V88" s="521">
        <f>U88/U12</f>
        <v>2.2971156715618563E-4</v>
      </c>
      <c r="W88" s="524">
        <v>25</v>
      </c>
      <c r="X88" s="521">
        <f>W88/W12</f>
        <v>2.2577372805858344E-4</v>
      </c>
      <c r="Y88" s="524">
        <v>25</v>
      </c>
      <c r="Z88" s="168">
        <f>Y88/Y12</f>
        <v>1.4945335656232211E-4</v>
      </c>
      <c r="AA88" s="275">
        <f t="shared" si="65"/>
        <v>300</v>
      </c>
      <c r="AB88" s="203">
        <f>AA88/AA12</f>
        <v>1.9247228159831746E-4</v>
      </c>
      <c r="AC88" s="196">
        <f t="shared" si="66"/>
        <v>25</v>
      </c>
      <c r="AD88" s="203">
        <f>AC88/AC12</f>
        <v>1.9247228159831748E-4</v>
      </c>
      <c r="AE88" s="75"/>
      <c r="AF88" s="158"/>
      <c r="AG88" s="75"/>
      <c r="AH88" s="196">
        <v>0</v>
      </c>
      <c r="AI88" s="244">
        <f>AH88/AH12</f>
        <v>0</v>
      </c>
      <c r="AJ88" s="282">
        <f t="shared" si="26"/>
        <v>325</v>
      </c>
      <c r="AK88" s="53">
        <f t="shared" si="27"/>
        <v>0</v>
      </c>
      <c r="AL88" s="53">
        <f t="shared" si="62"/>
        <v>300</v>
      </c>
      <c r="AM88" s="53">
        <f t="shared" si="63"/>
        <v>2350</v>
      </c>
      <c r="AN88" s="53"/>
      <c r="AQ88" s="53">
        <f t="shared" si="64"/>
        <v>235</v>
      </c>
    </row>
    <row r="89" spans="1:43">
      <c r="A89" s="98">
        <v>6213</v>
      </c>
      <c r="B89" s="108" t="s">
        <v>34</v>
      </c>
      <c r="C89" s="524">
        <v>0</v>
      </c>
      <c r="D89" s="521">
        <f>C89/C12</f>
        <v>0</v>
      </c>
      <c r="E89" s="524">
        <v>0</v>
      </c>
      <c r="F89" s="521">
        <f>E89/E12</f>
        <v>0</v>
      </c>
      <c r="G89" s="524">
        <v>0</v>
      </c>
      <c r="H89" s="521">
        <f>G89/G12</f>
        <v>0</v>
      </c>
      <c r="I89" s="524">
        <v>0</v>
      </c>
      <c r="J89" s="521">
        <f>I89/I12</f>
        <v>0</v>
      </c>
      <c r="K89" s="524">
        <v>0</v>
      </c>
      <c r="L89" s="521">
        <f>K89/K12</f>
        <v>0</v>
      </c>
      <c r="M89" s="524">
        <v>0</v>
      </c>
      <c r="N89" s="521">
        <f>M89/M12</f>
        <v>0</v>
      </c>
      <c r="O89" s="524">
        <v>0</v>
      </c>
      <c r="P89" s="521">
        <f>O89/O12</f>
        <v>0</v>
      </c>
      <c r="Q89" s="524">
        <v>0</v>
      </c>
      <c r="R89" s="521">
        <f>Q89/Q12</f>
        <v>0</v>
      </c>
      <c r="S89" s="524">
        <v>0</v>
      </c>
      <c r="T89" s="521">
        <f>S89/S12</f>
        <v>0</v>
      </c>
      <c r="U89" s="524">
        <v>0</v>
      </c>
      <c r="V89" s="521">
        <f>U89/U12</f>
        <v>0</v>
      </c>
      <c r="W89" s="524">
        <v>0</v>
      </c>
      <c r="X89" s="521">
        <f>W89/W12</f>
        <v>0</v>
      </c>
      <c r="Y89" s="524">
        <v>0</v>
      </c>
      <c r="Z89" s="168">
        <f>Y89/Y12</f>
        <v>0</v>
      </c>
      <c r="AA89" s="275">
        <f t="shared" si="65"/>
        <v>0</v>
      </c>
      <c r="AB89" s="203">
        <f>AA89/AA12</f>
        <v>0</v>
      </c>
      <c r="AC89" s="196">
        <f t="shared" si="66"/>
        <v>0</v>
      </c>
      <c r="AD89" s="203">
        <f>AC89/AC12</f>
        <v>0</v>
      </c>
      <c r="AE89" s="75"/>
      <c r="AF89" s="158"/>
      <c r="AG89" s="75"/>
      <c r="AH89" s="196">
        <v>4000</v>
      </c>
      <c r="AI89" s="244">
        <f>AH89/AH12</f>
        <v>4.967523881215824E-3</v>
      </c>
      <c r="AJ89" s="282">
        <f t="shared" si="26"/>
        <v>4000</v>
      </c>
      <c r="AK89" s="53">
        <f t="shared" si="27"/>
        <v>0</v>
      </c>
      <c r="AL89" s="53">
        <f t="shared" si="62"/>
        <v>0</v>
      </c>
      <c r="AM89" s="53">
        <f t="shared" si="63"/>
        <v>0</v>
      </c>
      <c r="AN89" s="53"/>
      <c r="AQ89" s="53">
        <f t="shared" si="64"/>
        <v>0</v>
      </c>
    </row>
    <row r="90" spans="1:43">
      <c r="A90" s="2">
        <v>6214</v>
      </c>
      <c r="B90" s="108" t="s">
        <v>35</v>
      </c>
      <c r="C90" s="524">
        <v>749</v>
      </c>
      <c r="D90" s="521">
        <f>C90/C12</f>
        <v>6.3891691555139126E-3</v>
      </c>
      <c r="E90" s="524">
        <v>749</v>
      </c>
      <c r="F90" s="521">
        <f>E90/E12</f>
        <v>8.212284371343052E-3</v>
      </c>
      <c r="G90" s="524">
        <v>749</v>
      </c>
      <c r="H90" s="521">
        <f>G90/G12</f>
        <v>4.9508046636633548E-3</v>
      </c>
      <c r="I90" s="524">
        <v>749</v>
      </c>
      <c r="J90" s="521">
        <f>I90/I12</f>
        <v>5.6068367074773523E-3</v>
      </c>
      <c r="K90" s="524">
        <v>749</v>
      </c>
      <c r="L90" s="521">
        <f>K90/K12</f>
        <v>6.1303577939452293E-3</v>
      </c>
      <c r="M90" s="524">
        <v>749</v>
      </c>
      <c r="N90" s="521">
        <f>M90/M12</f>
        <v>4.3232846620427914E-3</v>
      </c>
      <c r="O90" s="524">
        <v>749</v>
      </c>
      <c r="P90" s="521">
        <f>O90/O12</f>
        <v>6.8286413161614268E-3</v>
      </c>
      <c r="Q90" s="524">
        <v>749</v>
      </c>
      <c r="R90" s="521">
        <f>Q90/Q12</f>
        <v>5.4992563668755916E-3</v>
      </c>
      <c r="S90" s="524">
        <v>749</v>
      </c>
      <c r="T90" s="521">
        <f>S90/S12</f>
        <v>5.4589730988891588E-3</v>
      </c>
      <c r="U90" s="524">
        <v>749</v>
      </c>
      <c r="V90" s="521">
        <f>U90/U12</f>
        <v>6.8821585519993215E-3</v>
      </c>
      <c r="W90" s="524">
        <v>749</v>
      </c>
      <c r="X90" s="521">
        <f>W90/W12</f>
        <v>6.7641808926351601E-3</v>
      </c>
      <c r="Y90" s="524">
        <v>749</v>
      </c>
      <c r="Z90" s="168">
        <f>Y90/Y12</f>
        <v>4.4776225626071706E-3</v>
      </c>
      <c r="AA90" s="275">
        <f t="shared" si="65"/>
        <v>8988</v>
      </c>
      <c r="AB90" s="203">
        <f>AA90/AA12</f>
        <v>5.7664695566855915E-3</v>
      </c>
      <c r="AC90" s="196">
        <f t="shared" si="66"/>
        <v>749</v>
      </c>
      <c r="AD90" s="203">
        <f>AC90/AC12</f>
        <v>5.7664695566855915E-3</v>
      </c>
      <c r="AE90" s="75"/>
      <c r="AF90" s="158"/>
      <c r="AG90" s="75"/>
      <c r="AH90" s="196">
        <v>8819.9520000000011</v>
      </c>
      <c r="AI90" s="244">
        <f>AH90/AH12</f>
        <v>1.0953330547794318E-2</v>
      </c>
      <c r="AJ90" s="282">
        <f t="shared" si="26"/>
        <v>18556.952000000001</v>
      </c>
      <c r="AK90" s="53">
        <f t="shared" si="27"/>
        <v>0</v>
      </c>
      <c r="AL90" s="53">
        <f t="shared" si="62"/>
        <v>8988</v>
      </c>
      <c r="AM90" s="53">
        <f t="shared" si="63"/>
        <v>70406</v>
      </c>
      <c r="AN90" s="53"/>
      <c r="AQ90" s="53">
        <f t="shared" si="64"/>
        <v>7040.6</v>
      </c>
    </row>
    <row r="91" spans="1:43">
      <c r="A91" s="2">
        <v>6215</v>
      </c>
      <c r="B91" s="108" t="s">
        <v>236</v>
      </c>
      <c r="C91" s="524">
        <v>455.74074074074076</v>
      </c>
      <c r="D91" s="521">
        <f>C91/C12</f>
        <v>3.8875896977994709E-3</v>
      </c>
      <c r="E91" s="524">
        <v>455.74074074074076</v>
      </c>
      <c r="F91" s="521">
        <f>E91/E12</f>
        <v>4.9968926069018579E-3</v>
      </c>
      <c r="G91" s="524">
        <v>455.74074074074076</v>
      </c>
      <c r="H91" s="521">
        <f>G91/G12</f>
        <v>3.0123943720702954E-3</v>
      </c>
      <c r="I91" s="524">
        <v>455.74074074074076</v>
      </c>
      <c r="J91" s="521">
        <f>I91/I12</f>
        <v>3.4115673087825159E-3</v>
      </c>
      <c r="K91" s="524">
        <v>455.74074074074076</v>
      </c>
      <c r="L91" s="521">
        <f>K91/K12</f>
        <v>3.7301118852047692E-3</v>
      </c>
      <c r="M91" s="524">
        <v>455.74074074074076</v>
      </c>
      <c r="N91" s="521">
        <f>M91/M12</f>
        <v>2.6305700324598998E-3</v>
      </c>
      <c r="O91" s="524">
        <v>455.74074074074076</v>
      </c>
      <c r="P91" s="521">
        <f>O91/O12</f>
        <v>4.1549933934315565E-3</v>
      </c>
      <c r="Q91" s="524">
        <v>455.74074074074076</v>
      </c>
      <c r="R91" s="521">
        <f>Q91/Q12</f>
        <v>3.3461083713793283E-3</v>
      </c>
      <c r="S91" s="524">
        <v>455.74074074074076</v>
      </c>
      <c r="T91" s="521">
        <f>S91/S12</f>
        <v>3.3215973882129803E-3</v>
      </c>
      <c r="U91" s="524">
        <v>455.74074074074076</v>
      </c>
      <c r="V91" s="521">
        <f>U91/U12</f>
        <v>4.1875567908990583E-3</v>
      </c>
      <c r="W91" s="524">
        <v>455.74074074074076</v>
      </c>
      <c r="X91" s="521">
        <f>W91/W12</f>
        <v>4.1157714426086952E-3</v>
      </c>
      <c r="Y91" s="524">
        <v>455.74074074074076</v>
      </c>
      <c r="Z91" s="168">
        <f>Y91/Y12</f>
        <v>2.7244793370361092E-3</v>
      </c>
      <c r="AA91" s="275">
        <f t="shared" si="65"/>
        <v>5468.8888888888896</v>
      </c>
      <c r="AB91" s="203">
        <f>AA91/AA12</f>
        <v>3.5086984075071064E-3</v>
      </c>
      <c r="AC91" s="194">
        <f t="shared" si="66"/>
        <v>455.74074074074082</v>
      </c>
      <c r="AD91" s="203">
        <f>AC91/AC12</f>
        <v>3.5086984075071064E-3</v>
      </c>
      <c r="AE91" s="75"/>
      <c r="AF91" s="158"/>
      <c r="AG91" s="75"/>
      <c r="AH91" s="194">
        <v>3581.308</v>
      </c>
      <c r="AI91" s="244">
        <f>AH91/AH12</f>
        <v>4.4475582539973196E-3</v>
      </c>
      <c r="AJ91" s="282">
        <f t="shared" si="26"/>
        <v>9505.9376296296305</v>
      </c>
      <c r="AK91" s="53">
        <f t="shared" si="27"/>
        <v>0</v>
      </c>
      <c r="AL91" s="53">
        <f t="shared" si="62"/>
        <v>5468.8888888888896</v>
      </c>
      <c r="AM91" s="53">
        <f t="shared" si="63"/>
        <v>42839.629629629635</v>
      </c>
      <c r="AN91" s="53"/>
      <c r="AQ91" s="53">
        <f t="shared" si="64"/>
        <v>4283.9629629629635</v>
      </c>
    </row>
    <row r="92" spans="1:43">
      <c r="A92" s="2">
        <v>6216</v>
      </c>
      <c r="B92" s="108" t="s">
        <v>111</v>
      </c>
      <c r="C92" s="130">
        <v>0</v>
      </c>
      <c r="D92" s="49">
        <f>C92/C12</f>
        <v>0</v>
      </c>
      <c r="E92" s="524">
        <v>0</v>
      </c>
      <c r="F92" s="49">
        <f>E92/E12</f>
        <v>0</v>
      </c>
      <c r="G92" s="524">
        <v>0</v>
      </c>
      <c r="H92" s="49">
        <f>G92/G12</f>
        <v>0</v>
      </c>
      <c r="I92" s="524">
        <v>0</v>
      </c>
      <c r="J92" s="49">
        <f>I92/I12</f>
        <v>0</v>
      </c>
      <c r="K92" s="524">
        <v>0</v>
      </c>
      <c r="L92" s="49">
        <f>K92/K12</f>
        <v>0</v>
      </c>
      <c r="M92" s="524">
        <v>0</v>
      </c>
      <c r="N92" s="49">
        <f>M92/M12</f>
        <v>0</v>
      </c>
      <c r="O92" s="524">
        <v>0</v>
      </c>
      <c r="P92" s="49">
        <f>O92/O12</f>
        <v>0</v>
      </c>
      <c r="Q92" s="524">
        <v>0</v>
      </c>
      <c r="R92" s="49">
        <f>Q92/Q12</f>
        <v>0</v>
      </c>
      <c r="S92" s="524">
        <v>0</v>
      </c>
      <c r="T92" s="49">
        <f>S92/S12</f>
        <v>0</v>
      </c>
      <c r="U92" s="524">
        <v>0</v>
      </c>
      <c r="V92" s="49">
        <f>U92/U12</f>
        <v>0</v>
      </c>
      <c r="W92" s="524">
        <v>0</v>
      </c>
      <c r="X92" s="49">
        <f>W92/W12</f>
        <v>0</v>
      </c>
      <c r="Y92" s="524">
        <v>0</v>
      </c>
      <c r="Z92" s="168">
        <f>Y92/Y12</f>
        <v>0</v>
      </c>
      <c r="AA92" s="275">
        <f t="shared" si="65"/>
        <v>0</v>
      </c>
      <c r="AB92" s="203">
        <f>AA92/AA12</f>
        <v>0</v>
      </c>
      <c r="AC92" s="194">
        <f t="shared" si="66"/>
        <v>0</v>
      </c>
      <c r="AD92" s="203">
        <f>AC92/AC12</f>
        <v>0</v>
      </c>
      <c r="AE92" s="75"/>
      <c r="AF92" s="158"/>
      <c r="AG92" s="75"/>
      <c r="AH92" s="194">
        <v>0</v>
      </c>
      <c r="AI92" s="244">
        <f>AH92/AH12</f>
        <v>0</v>
      </c>
      <c r="AJ92" s="282">
        <f t="shared" si="26"/>
        <v>0</v>
      </c>
      <c r="AK92" s="53">
        <f t="shared" si="27"/>
        <v>0</v>
      </c>
      <c r="AL92" s="53">
        <f t="shared" si="62"/>
        <v>0</v>
      </c>
      <c r="AM92" s="53">
        <f t="shared" si="63"/>
        <v>0</v>
      </c>
      <c r="AN92" s="53"/>
      <c r="AQ92" s="53">
        <f t="shared" si="64"/>
        <v>0</v>
      </c>
    </row>
    <row r="93" spans="1:43" ht="15.75" thickBot="1">
      <c r="A93" s="4">
        <v>6299</v>
      </c>
      <c r="B93" s="109" t="s">
        <v>100</v>
      </c>
      <c r="C93" s="29">
        <f>SUM(C77:C92)</f>
        <v>13624.676586494601</v>
      </c>
      <c r="D93" s="66">
        <f>C93/C12</f>
        <v>0.11622211401907061</v>
      </c>
      <c r="E93" s="58">
        <f>SUM(E77:E92)</f>
        <v>13624.676586494601</v>
      </c>
      <c r="F93" s="66">
        <f>E93/E12</f>
        <v>0.14938547209061845</v>
      </c>
      <c r="G93" s="85">
        <f>SUM(G77:G92)</f>
        <v>13624.676586494601</v>
      </c>
      <c r="H93" s="66">
        <f>G93/G12</f>
        <v>9.0057559926999181E-2</v>
      </c>
      <c r="I93" s="291">
        <f>SUM(I77:I92)</f>
        <v>13624.676586494601</v>
      </c>
      <c r="J93" s="66">
        <f>I93/I12</f>
        <v>0.10199110388873853</v>
      </c>
      <c r="K93" s="58">
        <f>SUM(K77:K92)</f>
        <v>13624.676586494601</v>
      </c>
      <c r="L93" s="66">
        <f>K93/K12</f>
        <v>0.11151420868090822</v>
      </c>
      <c r="M93" s="21">
        <f>SUM(M77:M92)</f>
        <v>13624.676586494601</v>
      </c>
      <c r="N93" s="66">
        <f>M93/M12</f>
        <v>7.8642663967537579E-2</v>
      </c>
      <c r="O93" s="21">
        <f>SUM(O77:O92)</f>
        <v>13624.676586494601</v>
      </c>
      <c r="P93" s="66">
        <f>O93/O12</f>
        <v>0.12421632771411785</v>
      </c>
      <c r="Q93" s="21">
        <f>SUM(Q77:Q92)</f>
        <v>13624.676586494601</v>
      </c>
      <c r="R93" s="66">
        <f>Q93/Q12</f>
        <v>0.10003416483965452</v>
      </c>
      <c r="S93" s="21">
        <f>SUM(S77:S92)</f>
        <v>13624.676586494601</v>
      </c>
      <c r="T93" s="66">
        <f>S93/S12</f>
        <v>9.9301392478957265E-2</v>
      </c>
      <c r="U93" s="58">
        <f>SUM(U77:U92)</f>
        <v>13624.676586494601</v>
      </c>
      <c r="V93" s="66">
        <f>U93/U12</f>
        <v>0.12518983242719459</v>
      </c>
      <c r="W93" s="40">
        <f>SUM(W77:W92)</f>
        <v>13624.676586494601</v>
      </c>
      <c r="X93" s="66">
        <f>W93/W12</f>
        <v>0.12304376106101525</v>
      </c>
      <c r="Y93" s="58">
        <f>SUM(Y77:Y92)</f>
        <v>13624.676586494601</v>
      </c>
      <c r="Z93" s="213">
        <f>Y93/Y12</f>
        <v>8.1450145917107974E-2</v>
      </c>
      <c r="AA93" s="200">
        <f>SUM(AA77:AA92)</f>
        <v>163496.11903793522</v>
      </c>
      <c r="AB93" s="234">
        <f>AA93/AA12</f>
        <v>0.10489490354567167</v>
      </c>
      <c r="AC93" s="199">
        <f t="shared" si="66"/>
        <v>13624.676586494601</v>
      </c>
      <c r="AD93" s="234">
        <f>AC93/AC12</f>
        <v>0.10489490354567167</v>
      </c>
      <c r="AE93" s="75"/>
      <c r="AF93" s="237"/>
      <c r="AG93" s="75" t="s">
        <v>171</v>
      </c>
      <c r="AH93" s="199">
        <f>SUM(AH77:AH92)</f>
        <v>150259.742</v>
      </c>
      <c r="AI93" s="248">
        <f>AH93/AH12</f>
        <v>0.18660471419258207</v>
      </c>
      <c r="AJ93" s="286">
        <f t="shared" si="26"/>
        <v>327380.53762442979</v>
      </c>
      <c r="AK93" s="53">
        <f t="shared" si="27"/>
        <v>0</v>
      </c>
      <c r="AL93" s="53">
        <f t="shared" si="62"/>
        <v>163496.11903793525</v>
      </c>
      <c r="AM93" s="53">
        <f t="shared" si="63"/>
        <v>1280719.5991304927</v>
      </c>
      <c r="AN93" s="53"/>
      <c r="AQ93" s="53">
        <f t="shared" si="64"/>
        <v>128071.95991304926</v>
      </c>
    </row>
    <row r="94" spans="1:43" ht="15.75" thickTop="1">
      <c r="A94" s="98">
        <v>6301</v>
      </c>
      <c r="B94" s="111" t="s">
        <v>37</v>
      </c>
      <c r="C94" s="630"/>
      <c r="D94" s="521">
        <f t="shared" ref="D94:R114" si="67">C94/C$12</f>
        <v>0</v>
      </c>
      <c r="E94" s="630"/>
      <c r="F94" s="521">
        <f t="shared" si="67"/>
        <v>0</v>
      </c>
      <c r="G94" s="630"/>
      <c r="H94" s="521">
        <f t="shared" si="67"/>
        <v>0</v>
      </c>
      <c r="I94" s="630"/>
      <c r="J94" s="521">
        <f t="shared" si="67"/>
        <v>0</v>
      </c>
      <c r="K94" s="630"/>
      <c r="L94" s="521">
        <f t="shared" si="67"/>
        <v>0</v>
      </c>
      <c r="M94" s="630"/>
      <c r="N94" s="521">
        <f t="shared" si="67"/>
        <v>0</v>
      </c>
      <c r="O94" s="630"/>
      <c r="P94" s="521">
        <f t="shared" si="67"/>
        <v>0</v>
      </c>
      <c r="Q94" s="630"/>
      <c r="R94" s="521">
        <f t="shared" si="67"/>
        <v>0</v>
      </c>
      <c r="S94" s="630"/>
      <c r="T94" s="521">
        <f t="shared" ref="T94:Z114" si="68">S94/S$12</f>
        <v>0</v>
      </c>
      <c r="U94" s="630"/>
      <c r="V94" s="521">
        <f t="shared" si="68"/>
        <v>0</v>
      </c>
      <c r="W94" s="630"/>
      <c r="X94" s="521">
        <f t="shared" si="68"/>
        <v>0</v>
      </c>
      <c r="Y94" s="630"/>
      <c r="Z94" s="521">
        <f t="shared" si="68"/>
        <v>0</v>
      </c>
      <c r="AA94" s="631">
        <f t="shared" ref="AA94:AA114" si="69">C94+E94+G94+I94+K94+M94+O94+Q94+S94+U94+W94+Y94</f>
        <v>0</v>
      </c>
      <c r="AB94" s="171">
        <f>AA94/AA$12</f>
        <v>0</v>
      </c>
      <c r="AC94" s="632">
        <f t="shared" si="66"/>
        <v>0</v>
      </c>
      <c r="AD94" s="521">
        <f>AC94/AC$12</f>
        <v>0</v>
      </c>
      <c r="AE94" s="75"/>
      <c r="AF94" s="158"/>
      <c r="AG94" s="75"/>
      <c r="AH94" s="198"/>
      <c r="AI94" s="244">
        <f>AH94/AH12</f>
        <v>0</v>
      </c>
      <c r="AJ94" s="282">
        <f t="shared" si="26"/>
        <v>0</v>
      </c>
      <c r="AK94" s="53">
        <f t="shared" si="27"/>
        <v>0</v>
      </c>
      <c r="AL94" s="53">
        <f t="shared" si="62"/>
        <v>0</v>
      </c>
      <c r="AM94" s="53">
        <f t="shared" si="63"/>
        <v>0</v>
      </c>
      <c r="AN94" s="53"/>
      <c r="AQ94" s="53">
        <f t="shared" si="64"/>
        <v>0</v>
      </c>
    </row>
    <row r="95" spans="1:43">
      <c r="A95" s="98">
        <v>6302</v>
      </c>
      <c r="B95" s="111" t="s">
        <v>38</v>
      </c>
      <c r="C95" s="630"/>
      <c r="D95" s="521">
        <f t="shared" si="67"/>
        <v>0</v>
      </c>
      <c r="E95" s="630"/>
      <c r="F95" s="521">
        <f t="shared" si="67"/>
        <v>0</v>
      </c>
      <c r="G95" s="630"/>
      <c r="H95" s="521">
        <f t="shared" si="67"/>
        <v>0</v>
      </c>
      <c r="I95" s="630"/>
      <c r="J95" s="521">
        <f t="shared" si="67"/>
        <v>0</v>
      </c>
      <c r="K95" s="630"/>
      <c r="L95" s="521">
        <f t="shared" si="67"/>
        <v>0</v>
      </c>
      <c r="M95" s="630"/>
      <c r="N95" s="521">
        <f t="shared" si="67"/>
        <v>0</v>
      </c>
      <c r="O95" s="630"/>
      <c r="P95" s="521">
        <f t="shared" si="67"/>
        <v>0</v>
      </c>
      <c r="Q95" s="630"/>
      <c r="R95" s="521">
        <f t="shared" si="67"/>
        <v>0</v>
      </c>
      <c r="S95" s="630"/>
      <c r="T95" s="521">
        <f t="shared" si="68"/>
        <v>0</v>
      </c>
      <c r="U95" s="630"/>
      <c r="V95" s="521">
        <f t="shared" si="68"/>
        <v>0</v>
      </c>
      <c r="W95" s="630"/>
      <c r="X95" s="521">
        <f t="shared" si="68"/>
        <v>0</v>
      </c>
      <c r="Y95" s="630"/>
      <c r="Z95" s="521">
        <f t="shared" si="68"/>
        <v>0</v>
      </c>
      <c r="AA95" s="633">
        <f t="shared" si="69"/>
        <v>0</v>
      </c>
      <c r="AB95" s="521">
        <f t="shared" ref="AB95:AB99" si="70">AA95/AA$12</f>
        <v>0</v>
      </c>
      <c r="AC95" s="632">
        <f t="shared" si="66"/>
        <v>0</v>
      </c>
      <c r="AD95" s="521">
        <f t="shared" ref="AD95:AD99" si="71">AC95/AC$12</f>
        <v>0</v>
      </c>
      <c r="AE95" s="75"/>
      <c r="AF95" s="158"/>
      <c r="AG95" s="75"/>
      <c r="AH95" s="198"/>
      <c r="AI95" s="244">
        <f>AH95/AH12</f>
        <v>0</v>
      </c>
      <c r="AJ95" s="282">
        <f t="shared" si="26"/>
        <v>0</v>
      </c>
      <c r="AK95" s="53">
        <f t="shared" si="27"/>
        <v>0</v>
      </c>
      <c r="AL95" s="53">
        <f t="shared" si="62"/>
        <v>0</v>
      </c>
      <c r="AM95" s="53">
        <f t="shared" si="63"/>
        <v>0</v>
      </c>
      <c r="AN95" s="53"/>
      <c r="AQ95" s="53">
        <f t="shared" si="64"/>
        <v>0</v>
      </c>
    </row>
    <row r="96" spans="1:43">
      <c r="A96" s="98">
        <v>6303</v>
      </c>
      <c r="B96" s="2" t="s">
        <v>112</v>
      </c>
      <c r="C96" s="630">
        <f>(39950/9.4)/2</f>
        <v>2125</v>
      </c>
      <c r="D96" s="521">
        <f t="shared" si="67"/>
        <v>1.8126815027325854E-2</v>
      </c>
      <c r="E96" s="630"/>
      <c r="F96" s="521">
        <f t="shared" si="67"/>
        <v>0</v>
      </c>
      <c r="G96" s="630"/>
      <c r="H96" s="521">
        <f t="shared" si="67"/>
        <v>0</v>
      </c>
      <c r="I96" s="630"/>
      <c r="J96" s="521">
        <f t="shared" si="67"/>
        <v>0</v>
      </c>
      <c r="K96" s="630"/>
      <c r="L96" s="521">
        <f t="shared" si="67"/>
        <v>0</v>
      </c>
      <c r="M96" s="630"/>
      <c r="N96" s="521">
        <f t="shared" si="67"/>
        <v>0</v>
      </c>
      <c r="O96" s="630"/>
      <c r="P96" s="521">
        <f t="shared" si="67"/>
        <v>0</v>
      </c>
      <c r="Q96" s="630"/>
      <c r="R96" s="521">
        <f t="shared" si="67"/>
        <v>0</v>
      </c>
      <c r="S96" s="630"/>
      <c r="T96" s="521">
        <f t="shared" si="68"/>
        <v>0</v>
      </c>
      <c r="U96" s="630"/>
      <c r="V96" s="521">
        <f t="shared" si="68"/>
        <v>0</v>
      </c>
      <c r="W96" s="630"/>
      <c r="X96" s="521">
        <f t="shared" si="68"/>
        <v>0</v>
      </c>
      <c r="Y96" s="630"/>
      <c r="Z96" s="521">
        <f t="shared" si="68"/>
        <v>0</v>
      </c>
      <c r="AA96" s="633">
        <f t="shared" si="69"/>
        <v>2125</v>
      </c>
      <c r="AB96" s="521">
        <f t="shared" si="70"/>
        <v>1.363345327988082E-3</v>
      </c>
      <c r="AC96" s="632">
        <f t="shared" si="66"/>
        <v>177.08333333333334</v>
      </c>
      <c r="AD96" s="521">
        <f t="shared" si="71"/>
        <v>1.3633453279880822E-3</v>
      </c>
      <c r="AE96" s="75"/>
      <c r="AF96" s="158"/>
      <c r="AG96" s="75"/>
      <c r="AH96" s="198"/>
      <c r="AI96" s="244">
        <f>AH96/AH12</f>
        <v>0</v>
      </c>
      <c r="AJ96" s="282">
        <f t="shared" si="26"/>
        <v>2302.0833333333335</v>
      </c>
      <c r="AK96" s="53">
        <f t="shared" si="27"/>
        <v>0</v>
      </c>
      <c r="AL96" s="53">
        <f t="shared" si="62"/>
        <v>2125</v>
      </c>
      <c r="AM96" s="53">
        <f t="shared" si="63"/>
        <v>0</v>
      </c>
      <c r="AN96" s="53"/>
      <c r="AQ96" s="53">
        <f t="shared" si="64"/>
        <v>0</v>
      </c>
    </row>
    <row r="97" spans="1:43">
      <c r="A97" s="98">
        <v>6304</v>
      </c>
      <c r="B97" s="2" t="s">
        <v>39</v>
      </c>
      <c r="C97" s="634"/>
      <c r="D97" s="521">
        <f t="shared" si="67"/>
        <v>0</v>
      </c>
      <c r="E97" s="634"/>
      <c r="F97" s="521">
        <f t="shared" si="67"/>
        <v>0</v>
      </c>
      <c r="G97" s="634"/>
      <c r="H97" s="521">
        <f t="shared" si="67"/>
        <v>0</v>
      </c>
      <c r="I97" s="634"/>
      <c r="J97" s="521">
        <f t="shared" si="67"/>
        <v>0</v>
      </c>
      <c r="K97" s="634"/>
      <c r="L97" s="521">
        <f t="shared" si="67"/>
        <v>0</v>
      </c>
      <c r="M97" s="634"/>
      <c r="N97" s="521">
        <f t="shared" si="67"/>
        <v>0</v>
      </c>
      <c r="O97" s="634"/>
      <c r="P97" s="521">
        <f t="shared" si="67"/>
        <v>0</v>
      </c>
      <c r="Q97" s="634"/>
      <c r="R97" s="521">
        <f t="shared" si="67"/>
        <v>0</v>
      </c>
      <c r="S97" s="634"/>
      <c r="T97" s="521">
        <f t="shared" si="68"/>
        <v>0</v>
      </c>
      <c r="U97" s="634"/>
      <c r="V97" s="521">
        <f t="shared" si="68"/>
        <v>0</v>
      </c>
      <c r="W97" s="634"/>
      <c r="X97" s="521">
        <f t="shared" si="68"/>
        <v>0</v>
      </c>
      <c r="Y97" s="634"/>
      <c r="Z97" s="521">
        <f t="shared" si="68"/>
        <v>0</v>
      </c>
      <c r="AA97" s="633">
        <f t="shared" si="69"/>
        <v>0</v>
      </c>
      <c r="AB97" s="521">
        <f t="shared" si="70"/>
        <v>0</v>
      </c>
      <c r="AC97" s="632">
        <f t="shared" si="66"/>
        <v>0</v>
      </c>
      <c r="AD97" s="521">
        <f t="shared" si="71"/>
        <v>0</v>
      </c>
      <c r="AE97" s="75"/>
      <c r="AF97" s="158"/>
      <c r="AG97" s="75"/>
      <c r="AH97" s="198">
        <v>9593.5680851063844</v>
      </c>
      <c r="AI97" s="244">
        <f>AH97/AH12</f>
        <v>1.1914069642208982E-2</v>
      </c>
      <c r="AJ97" s="282">
        <f t="shared" si="26"/>
        <v>9593.5680851063844</v>
      </c>
      <c r="AK97" s="53">
        <f t="shared" si="27"/>
        <v>0</v>
      </c>
      <c r="AL97" s="53">
        <f t="shared" si="62"/>
        <v>0</v>
      </c>
      <c r="AM97" s="53">
        <f t="shared" si="63"/>
        <v>0</v>
      </c>
      <c r="AN97" s="53"/>
      <c r="AQ97" s="53">
        <f t="shared" si="64"/>
        <v>0</v>
      </c>
    </row>
    <row r="98" spans="1:43">
      <c r="A98" s="98">
        <v>6305</v>
      </c>
      <c r="B98" s="2" t="s">
        <v>40</v>
      </c>
      <c r="C98" s="630"/>
      <c r="D98" s="521">
        <f t="shared" si="67"/>
        <v>0</v>
      </c>
      <c r="E98" s="630"/>
      <c r="F98" s="521">
        <f t="shared" si="67"/>
        <v>0</v>
      </c>
      <c r="G98" s="630"/>
      <c r="H98" s="521">
        <f t="shared" si="67"/>
        <v>0</v>
      </c>
      <c r="I98" s="630"/>
      <c r="J98" s="521">
        <f t="shared" si="67"/>
        <v>0</v>
      </c>
      <c r="K98" s="630"/>
      <c r="L98" s="521">
        <f t="shared" si="67"/>
        <v>0</v>
      </c>
      <c r="M98" s="630"/>
      <c r="N98" s="521">
        <f t="shared" si="67"/>
        <v>0</v>
      </c>
      <c r="O98" s="630"/>
      <c r="P98" s="521">
        <f t="shared" si="67"/>
        <v>0</v>
      </c>
      <c r="Q98" s="630"/>
      <c r="R98" s="521">
        <f t="shared" si="67"/>
        <v>0</v>
      </c>
      <c r="S98" s="630"/>
      <c r="T98" s="521">
        <f t="shared" si="68"/>
        <v>0</v>
      </c>
      <c r="U98" s="630"/>
      <c r="V98" s="521">
        <f t="shared" si="68"/>
        <v>0</v>
      </c>
      <c r="W98" s="630"/>
      <c r="X98" s="521">
        <f t="shared" si="68"/>
        <v>0</v>
      </c>
      <c r="Y98" s="630"/>
      <c r="Z98" s="521">
        <f t="shared" si="68"/>
        <v>0</v>
      </c>
      <c r="AA98" s="633">
        <f t="shared" si="69"/>
        <v>0</v>
      </c>
      <c r="AB98" s="521">
        <f t="shared" si="70"/>
        <v>0</v>
      </c>
      <c r="AC98" s="632">
        <f t="shared" si="66"/>
        <v>0</v>
      </c>
      <c r="AD98" s="521">
        <f t="shared" si="71"/>
        <v>0</v>
      </c>
      <c r="AE98" s="75"/>
      <c r="AF98" s="158"/>
      <c r="AG98" s="75"/>
      <c r="AH98" s="198">
        <v>2468.3266990881457</v>
      </c>
      <c r="AI98" s="244">
        <f>AH98/AH12</f>
        <v>3.0653679560907472E-3</v>
      </c>
      <c r="AJ98" s="282">
        <f t="shared" si="26"/>
        <v>2468.3266990881457</v>
      </c>
      <c r="AK98" s="53">
        <f t="shared" si="27"/>
        <v>0</v>
      </c>
      <c r="AL98" s="53">
        <f t="shared" si="62"/>
        <v>0</v>
      </c>
      <c r="AM98" s="53">
        <f t="shared" si="63"/>
        <v>0</v>
      </c>
      <c r="AN98" s="53"/>
      <c r="AQ98" s="53">
        <f t="shared" si="64"/>
        <v>0</v>
      </c>
    </row>
    <row r="99" spans="1:43">
      <c r="A99" s="98">
        <v>6306</v>
      </c>
      <c r="B99" s="2" t="s">
        <v>41</v>
      </c>
      <c r="C99" s="630"/>
      <c r="D99" s="521">
        <f t="shared" si="67"/>
        <v>0</v>
      </c>
      <c r="E99" s="630"/>
      <c r="F99" s="521">
        <f t="shared" si="67"/>
        <v>0</v>
      </c>
      <c r="G99" s="630"/>
      <c r="H99" s="521">
        <f t="shared" si="67"/>
        <v>0</v>
      </c>
      <c r="I99" s="630"/>
      <c r="J99" s="521">
        <f t="shared" si="67"/>
        <v>0</v>
      </c>
      <c r="K99" s="630"/>
      <c r="L99" s="521">
        <f t="shared" si="67"/>
        <v>0</v>
      </c>
      <c r="M99" s="630"/>
      <c r="N99" s="521">
        <f t="shared" si="67"/>
        <v>0</v>
      </c>
      <c r="O99" s="630"/>
      <c r="P99" s="521">
        <f t="shared" si="67"/>
        <v>0</v>
      </c>
      <c r="Q99" s="630"/>
      <c r="R99" s="521">
        <f t="shared" si="67"/>
        <v>0</v>
      </c>
      <c r="S99" s="630"/>
      <c r="T99" s="521">
        <f t="shared" si="68"/>
        <v>0</v>
      </c>
      <c r="U99" s="630"/>
      <c r="V99" s="521">
        <f t="shared" si="68"/>
        <v>0</v>
      </c>
      <c r="W99" s="630"/>
      <c r="X99" s="521">
        <f t="shared" si="68"/>
        <v>0</v>
      </c>
      <c r="Y99" s="630"/>
      <c r="Z99" s="521">
        <f t="shared" si="68"/>
        <v>0</v>
      </c>
      <c r="AA99" s="633">
        <f t="shared" si="69"/>
        <v>0</v>
      </c>
      <c r="AB99" s="521">
        <f t="shared" si="70"/>
        <v>0</v>
      </c>
      <c r="AC99" s="632">
        <f t="shared" si="66"/>
        <v>0</v>
      </c>
      <c r="AD99" s="521">
        <f t="shared" si="71"/>
        <v>0</v>
      </c>
      <c r="AE99" s="75"/>
      <c r="AF99" s="158"/>
      <c r="AG99" s="75"/>
      <c r="AH99" s="198">
        <v>0</v>
      </c>
      <c r="AI99" s="244">
        <f>AH99/AH12</f>
        <v>0</v>
      </c>
      <c r="AJ99" s="282">
        <f t="shared" si="26"/>
        <v>0</v>
      </c>
      <c r="AK99" s="53">
        <f t="shared" si="27"/>
        <v>0</v>
      </c>
      <c r="AL99" s="53">
        <f t="shared" si="62"/>
        <v>0</v>
      </c>
      <c r="AM99" s="53">
        <f t="shared" si="63"/>
        <v>0</v>
      </c>
      <c r="AN99" s="53"/>
      <c r="AQ99" s="53">
        <f t="shared" si="64"/>
        <v>0</v>
      </c>
    </row>
    <row r="100" spans="1:43">
      <c r="A100" s="98">
        <v>6307</v>
      </c>
      <c r="B100" s="2" t="s">
        <v>257</v>
      </c>
      <c r="C100" s="630"/>
      <c r="D100" s="521">
        <f t="shared" si="67"/>
        <v>0</v>
      </c>
      <c r="E100" s="630">
        <v>63.829787234042549</v>
      </c>
      <c r="F100" s="521">
        <f t="shared" si="67"/>
        <v>6.9985095344229627E-4</v>
      </c>
      <c r="G100" s="630">
        <v>63.829787234042549</v>
      </c>
      <c r="H100" s="521">
        <f t="shared" si="67"/>
        <v>4.2190762125358814E-4</v>
      </c>
      <c r="I100" s="630">
        <v>237.7659574468085</v>
      </c>
      <c r="J100" s="521">
        <f t="shared" si="67"/>
        <v>1.7798596769042243E-3</v>
      </c>
      <c r="K100" s="630">
        <v>63.829787234042549</v>
      </c>
      <c r="L100" s="521">
        <f t="shared" si="67"/>
        <v>5.2242915040864944E-4</v>
      </c>
      <c r="M100" s="630"/>
      <c r="N100" s="521">
        <f t="shared" si="67"/>
        <v>0</v>
      </c>
      <c r="O100" s="630">
        <v>63.829787234042549</v>
      </c>
      <c r="P100" s="521">
        <f t="shared" si="67"/>
        <v>5.8193687891612306E-4</v>
      </c>
      <c r="Q100" s="630">
        <v>63.829787234042549</v>
      </c>
      <c r="R100" s="521">
        <f t="shared" si="67"/>
        <v>4.6864668069842831E-4</v>
      </c>
      <c r="S100" s="630">
        <v>63.829787234042549</v>
      </c>
      <c r="T100" s="521">
        <f t="shared" si="68"/>
        <v>4.6521374021155792E-4</v>
      </c>
      <c r="U100" s="630">
        <v>63.829787234042549</v>
      </c>
      <c r="V100" s="521">
        <f t="shared" si="68"/>
        <v>5.8649761827111221E-4</v>
      </c>
      <c r="W100" s="630">
        <v>63.829787234042549</v>
      </c>
      <c r="X100" s="521">
        <f t="shared" si="68"/>
        <v>5.7644356100063857E-4</v>
      </c>
      <c r="Y100" s="630">
        <v>63.829787234042549</v>
      </c>
      <c r="Z100" s="521">
        <f t="shared" si="68"/>
        <v>3.8158303803146064E-4</v>
      </c>
      <c r="AA100" s="633">
        <f t="shared" si="69"/>
        <v>812.23404255319144</v>
      </c>
      <c r="AB100" s="521">
        <f>AA100/AA$12</f>
        <v>5.211084645401255E-4</v>
      </c>
      <c r="AC100" s="632">
        <f t="shared" si="66"/>
        <v>67.686170212765958</v>
      </c>
      <c r="AD100" s="521">
        <f>AC100/AC$12</f>
        <v>5.211084645401255E-4</v>
      </c>
      <c r="AE100" s="75"/>
      <c r="AF100" s="158"/>
      <c r="AG100" s="75"/>
      <c r="AH100" s="527"/>
      <c r="AI100" s="244"/>
      <c r="AJ100" s="282"/>
      <c r="AK100" s="53"/>
      <c r="AL100" s="53"/>
      <c r="AM100" s="53"/>
      <c r="AN100" s="53"/>
      <c r="AQ100" s="53"/>
    </row>
    <row r="101" spans="1:43">
      <c r="A101" s="2">
        <v>6308</v>
      </c>
      <c r="B101" s="2" t="s">
        <v>125</v>
      </c>
      <c r="C101" s="630"/>
      <c r="D101" s="521">
        <f t="shared" si="67"/>
        <v>0</v>
      </c>
      <c r="E101" s="630"/>
      <c r="F101" s="521">
        <f t="shared" si="67"/>
        <v>0</v>
      </c>
      <c r="G101" s="630"/>
      <c r="H101" s="521">
        <f t="shared" si="67"/>
        <v>0</v>
      </c>
      <c r="I101" s="630"/>
      <c r="J101" s="521">
        <f t="shared" si="67"/>
        <v>0</v>
      </c>
      <c r="K101" s="630"/>
      <c r="L101" s="521">
        <f t="shared" si="67"/>
        <v>0</v>
      </c>
      <c r="M101" s="630"/>
      <c r="N101" s="521">
        <f t="shared" si="67"/>
        <v>0</v>
      </c>
      <c r="O101" s="630"/>
      <c r="P101" s="521">
        <f t="shared" si="67"/>
        <v>0</v>
      </c>
      <c r="Q101" s="630"/>
      <c r="R101" s="521">
        <f t="shared" si="67"/>
        <v>0</v>
      </c>
      <c r="S101" s="630"/>
      <c r="T101" s="521">
        <f t="shared" si="68"/>
        <v>0</v>
      </c>
      <c r="U101" s="630"/>
      <c r="V101" s="521">
        <f t="shared" si="68"/>
        <v>0</v>
      </c>
      <c r="W101" s="630"/>
      <c r="X101" s="521">
        <f t="shared" si="68"/>
        <v>0</v>
      </c>
      <c r="Y101" s="630"/>
      <c r="Z101" s="521">
        <f t="shared" si="68"/>
        <v>0</v>
      </c>
      <c r="AA101" s="633">
        <f t="shared" si="69"/>
        <v>0</v>
      </c>
      <c r="AB101" s="521">
        <f>AA101/AA$12</f>
        <v>0</v>
      </c>
      <c r="AC101" s="632">
        <f t="shared" si="66"/>
        <v>0</v>
      </c>
      <c r="AD101" s="521">
        <f>AC101/AC$12</f>
        <v>0</v>
      </c>
      <c r="AE101" s="75"/>
      <c r="AF101" s="158"/>
      <c r="AG101" s="75"/>
      <c r="AH101" s="198">
        <v>0</v>
      </c>
      <c r="AI101" s="244">
        <f>AH101/AH12</f>
        <v>0</v>
      </c>
      <c r="AJ101" s="282">
        <f t="shared" si="26"/>
        <v>0</v>
      </c>
      <c r="AK101" s="53">
        <f t="shared" si="27"/>
        <v>0</v>
      </c>
      <c r="AL101" s="53">
        <f t="shared" si="62"/>
        <v>0</v>
      </c>
      <c r="AM101" s="53">
        <f t="shared" si="63"/>
        <v>0</v>
      </c>
      <c r="AN101" s="53"/>
      <c r="AQ101" s="53">
        <f t="shared" si="64"/>
        <v>0</v>
      </c>
    </row>
    <row r="102" spans="1:43">
      <c r="A102" s="2">
        <v>6309</v>
      </c>
      <c r="B102" s="2" t="s">
        <v>126</v>
      </c>
      <c r="C102" s="630">
        <v>702.76809709507984</v>
      </c>
      <c r="D102" s="521">
        <f t="shared" si="67"/>
        <v>5.994798730893312E-3</v>
      </c>
      <c r="E102" s="630">
        <v>737.9065019498338</v>
      </c>
      <c r="F102" s="521">
        <f t="shared" si="67"/>
        <v>8.0906515800734866E-3</v>
      </c>
      <c r="G102" s="630">
        <v>387.40091352366278</v>
      </c>
      <c r="H102" s="521">
        <f t="shared" si="67"/>
        <v>2.5606759003743572E-3</v>
      </c>
      <c r="I102" s="630">
        <v>406.77095919984595</v>
      </c>
      <c r="J102" s="521">
        <f t="shared" si="67"/>
        <v>3.0449911155907457E-3</v>
      </c>
      <c r="K102" s="630">
        <v>854.21901431967649</v>
      </c>
      <c r="L102" s="521">
        <f t="shared" si="67"/>
        <v>6.9915463179851004E-3</v>
      </c>
      <c r="M102" s="630">
        <v>448.46498251783021</v>
      </c>
      <c r="N102" s="521">
        <f t="shared" si="67"/>
        <v>2.5885738055842779E-3</v>
      </c>
      <c r="O102" s="630">
        <v>470.88823164372172</v>
      </c>
      <c r="P102" s="521">
        <f t="shared" si="67"/>
        <v>4.293093236176917E-3</v>
      </c>
      <c r="Q102" s="630">
        <v>494.43264322590784</v>
      </c>
      <c r="R102" s="521">
        <f t="shared" si="67"/>
        <v>3.6301894008694277E-3</v>
      </c>
      <c r="S102" s="630">
        <v>1038.3085507744065</v>
      </c>
      <c r="T102" s="521">
        <f t="shared" si="68"/>
        <v>7.5675546689239958E-3</v>
      </c>
      <c r="U102" s="630">
        <v>1090.2239783131267</v>
      </c>
      <c r="V102" s="521">
        <f t="shared" si="68"/>
        <v>1.0017482344382387E-2</v>
      </c>
      <c r="W102" s="630">
        <v>572.36758861439171</v>
      </c>
      <c r="X102" s="521">
        <f t="shared" si="68"/>
        <v>5.1690225720549135E-3</v>
      </c>
      <c r="Y102" s="630">
        <v>600.98596804511112</v>
      </c>
      <c r="Z102" s="521">
        <f t="shared" si="68"/>
        <v>3.5927748068479326E-3</v>
      </c>
      <c r="AA102" s="633">
        <f t="shared" si="69"/>
        <v>7804.737429222595</v>
      </c>
      <c r="AB102" s="521">
        <f>AA102/AA$12</f>
        <v>5.0073187342608658E-3</v>
      </c>
      <c r="AC102" s="632">
        <f t="shared" si="66"/>
        <v>650.39478576854958</v>
      </c>
      <c r="AD102" s="521">
        <f>AC102/AC$12</f>
        <v>5.0073187342608658E-3</v>
      </c>
      <c r="AE102" s="75"/>
      <c r="AF102" s="158"/>
      <c r="AG102" s="75"/>
      <c r="AH102" s="198">
        <v>5263.5292553191493</v>
      </c>
      <c r="AI102" s="244">
        <f>AH102/AH12</f>
        <v>6.5366768188190039E-3</v>
      </c>
      <c r="AJ102" s="282">
        <f t="shared" si="26"/>
        <v>13718.661470310293</v>
      </c>
      <c r="AK102" s="53">
        <f t="shared" si="27"/>
        <v>0</v>
      </c>
      <c r="AL102" s="53">
        <f t="shared" si="62"/>
        <v>7804.737429222595</v>
      </c>
      <c r="AM102" s="53">
        <f t="shared" si="63"/>
        <v>59822.190603670206</v>
      </c>
      <c r="AN102" s="53"/>
      <c r="AQ102" s="53">
        <f t="shared" si="64"/>
        <v>4647.6668463235337</v>
      </c>
    </row>
    <row r="103" spans="1:43">
      <c r="A103" s="2">
        <v>6310</v>
      </c>
      <c r="B103" s="2" t="s">
        <v>127</v>
      </c>
      <c r="C103" s="630">
        <f>(200/9.4)/2</f>
        <v>10.638297872340425</v>
      </c>
      <c r="D103" s="521">
        <f t="shared" si="67"/>
        <v>9.074750952353368E-5</v>
      </c>
      <c r="E103" s="630">
        <f>(200/9.4)/2</f>
        <v>10.638297872340425</v>
      </c>
      <c r="F103" s="521">
        <f t="shared" si="67"/>
        <v>1.1664182557371605E-4</v>
      </c>
      <c r="G103" s="630">
        <f>(200/9.4)/2</f>
        <v>10.638297872340425</v>
      </c>
      <c r="H103" s="521">
        <f t="shared" si="67"/>
        <v>7.0317936875598027E-5</v>
      </c>
      <c r="I103" s="630">
        <f>(200/9.4)/2</f>
        <v>10.638297872340425</v>
      </c>
      <c r="J103" s="521">
        <f t="shared" si="67"/>
        <v>7.9635779727258352E-5</v>
      </c>
      <c r="K103" s="630">
        <f>(200/9.4)/2</f>
        <v>10.638297872340425</v>
      </c>
      <c r="L103" s="521">
        <f t="shared" si="67"/>
        <v>8.7071525068108249E-5</v>
      </c>
      <c r="M103" s="630"/>
      <c r="N103" s="521">
        <f t="shared" si="67"/>
        <v>0</v>
      </c>
      <c r="O103" s="630">
        <f>(200/9.4)/2</f>
        <v>10.638297872340425</v>
      </c>
      <c r="P103" s="521">
        <f t="shared" si="67"/>
        <v>9.6989479819353848E-5</v>
      </c>
      <c r="Q103" s="630">
        <f>(200/9.4)/2</f>
        <v>10.638297872340425</v>
      </c>
      <c r="R103" s="521">
        <f t="shared" si="67"/>
        <v>7.8107780116404732E-5</v>
      </c>
      <c r="S103" s="630">
        <f>(200/9.4)/2</f>
        <v>10.638297872340425</v>
      </c>
      <c r="T103" s="521">
        <f t="shared" si="68"/>
        <v>7.7535623368593E-5</v>
      </c>
      <c r="U103" s="630">
        <f>(200/9.4)/2</f>
        <v>10.638297872340425</v>
      </c>
      <c r="V103" s="521">
        <f t="shared" si="68"/>
        <v>9.7749603045185364E-5</v>
      </c>
      <c r="W103" s="630">
        <f>(200/9.4)/2</f>
        <v>10.638297872340425</v>
      </c>
      <c r="X103" s="521">
        <f t="shared" si="68"/>
        <v>9.6073926833439762E-5</v>
      </c>
      <c r="Y103" s="630">
        <f>(200/9.4)/2</f>
        <v>10.638297872340425</v>
      </c>
      <c r="Z103" s="521">
        <f t="shared" si="68"/>
        <v>6.3597173005243453E-5</v>
      </c>
      <c r="AA103" s="633">
        <f t="shared" si="69"/>
        <v>117.02127659574469</v>
      </c>
      <c r="AB103" s="521">
        <f t="shared" ref="AB103:AB114" si="72">AA103/AA$12</f>
        <v>7.5077840339769233E-5</v>
      </c>
      <c r="AC103" s="632">
        <f t="shared" si="66"/>
        <v>9.7517730496453918</v>
      </c>
      <c r="AD103" s="521">
        <f t="shared" ref="AD103:AD114" si="73">AC103/AC$12</f>
        <v>7.5077840339769246E-5</v>
      </c>
      <c r="AE103" s="75"/>
      <c r="AF103" s="158"/>
      <c r="AG103" s="75"/>
      <c r="AH103" s="198">
        <v>2500</v>
      </c>
      <c r="AI103" s="244">
        <f>AH103/AH12</f>
        <v>3.10470242575989E-3</v>
      </c>
      <c r="AJ103" s="282">
        <f t="shared" si="26"/>
        <v>2626.7730496453901</v>
      </c>
      <c r="AK103" s="53">
        <f t="shared" si="27"/>
        <v>0</v>
      </c>
      <c r="AL103" s="53">
        <f t="shared" si="62"/>
        <v>117.02127659574469</v>
      </c>
      <c r="AM103" s="53">
        <f t="shared" si="63"/>
        <v>900</v>
      </c>
      <c r="AN103" s="53"/>
      <c r="AQ103" s="53">
        <f t="shared" si="64"/>
        <v>100</v>
      </c>
    </row>
    <row r="104" spans="1:43">
      <c r="A104" s="2">
        <v>6311</v>
      </c>
      <c r="B104" s="2" t="s">
        <v>128</v>
      </c>
      <c r="C104" s="630">
        <f>(20000/9.4)/2</f>
        <v>1063.8297872340424</v>
      </c>
      <c r="D104" s="521">
        <f t="shared" si="67"/>
        <v>9.0747509523533675E-3</v>
      </c>
      <c r="E104" s="630"/>
      <c r="F104" s="521">
        <f t="shared" si="67"/>
        <v>0</v>
      </c>
      <c r="G104" s="630"/>
      <c r="H104" s="521">
        <f t="shared" si="67"/>
        <v>0</v>
      </c>
      <c r="I104" s="630"/>
      <c r="J104" s="521">
        <f t="shared" si="67"/>
        <v>0</v>
      </c>
      <c r="K104" s="630"/>
      <c r="L104" s="521">
        <f t="shared" si="67"/>
        <v>0</v>
      </c>
      <c r="M104" s="630"/>
      <c r="N104" s="521">
        <f t="shared" si="67"/>
        <v>0</v>
      </c>
      <c r="O104" s="630"/>
      <c r="P104" s="521">
        <f t="shared" si="67"/>
        <v>0</v>
      </c>
      <c r="Q104" s="630"/>
      <c r="R104" s="521">
        <f t="shared" si="67"/>
        <v>0</v>
      </c>
      <c r="S104" s="630"/>
      <c r="T104" s="521">
        <f t="shared" si="68"/>
        <v>0</v>
      </c>
      <c r="U104" s="630"/>
      <c r="V104" s="521">
        <f t="shared" si="68"/>
        <v>0</v>
      </c>
      <c r="W104" s="630"/>
      <c r="X104" s="521">
        <f t="shared" si="68"/>
        <v>0</v>
      </c>
      <c r="Y104" s="630"/>
      <c r="Z104" s="521">
        <f t="shared" si="68"/>
        <v>0</v>
      </c>
      <c r="AA104" s="633">
        <f t="shared" si="69"/>
        <v>1063.8297872340424</v>
      </c>
      <c r="AB104" s="521">
        <f t="shared" si="72"/>
        <v>6.8252582127062921E-4</v>
      </c>
      <c r="AC104" s="632">
        <f t="shared" si="66"/>
        <v>88.652482269503537</v>
      </c>
      <c r="AD104" s="521">
        <f t="shared" si="73"/>
        <v>6.8252582127062932E-4</v>
      </c>
      <c r="AE104" s="75"/>
      <c r="AF104" s="158"/>
      <c r="AG104" s="75"/>
      <c r="AH104" s="198">
        <v>4644.4148936170222</v>
      </c>
      <c r="AI104" s="244">
        <f>AH104/AH12</f>
        <v>5.7678104745792517E-3</v>
      </c>
      <c r="AJ104" s="282">
        <f t="shared" si="26"/>
        <v>5796.8971631205677</v>
      </c>
      <c r="AK104" s="53">
        <f t="shared" si="27"/>
        <v>0</v>
      </c>
      <c r="AL104" s="53">
        <f t="shared" si="62"/>
        <v>1063.8297872340424</v>
      </c>
      <c r="AM104" s="53">
        <f t="shared" si="63"/>
        <v>0</v>
      </c>
      <c r="AN104" s="53"/>
      <c r="AQ104" s="53">
        <f t="shared" si="64"/>
        <v>0</v>
      </c>
    </row>
    <row r="105" spans="1:43">
      <c r="A105" s="2">
        <v>6312</v>
      </c>
      <c r="B105" s="2" t="s">
        <v>129</v>
      </c>
      <c r="C105" s="630">
        <v>493.50000000000006</v>
      </c>
      <c r="D105" s="521">
        <f t="shared" si="67"/>
        <v>4.2096862192872045E-3</v>
      </c>
      <c r="E105" s="630">
        <v>493.50000000000006</v>
      </c>
      <c r="F105" s="521">
        <f t="shared" si="67"/>
        <v>5.4108976465391144E-3</v>
      </c>
      <c r="G105" s="630">
        <v>493.50000000000006</v>
      </c>
      <c r="H105" s="521">
        <f t="shared" si="67"/>
        <v>3.2619787737221172E-3</v>
      </c>
      <c r="I105" s="630"/>
      <c r="J105" s="521">
        <f t="shared" si="67"/>
        <v>0</v>
      </c>
      <c r="K105" s="630">
        <v>493.50000000000006</v>
      </c>
      <c r="L105" s="521">
        <f t="shared" si="67"/>
        <v>4.0391609763844741E-3</v>
      </c>
      <c r="M105" s="630"/>
      <c r="N105" s="521">
        <f t="shared" si="67"/>
        <v>0</v>
      </c>
      <c r="O105" s="630">
        <v>493.50000000000006</v>
      </c>
      <c r="P105" s="521">
        <f t="shared" si="67"/>
        <v>4.4992449793400061E-3</v>
      </c>
      <c r="Q105" s="630"/>
      <c r="R105" s="521">
        <f t="shared" si="67"/>
        <v>0</v>
      </c>
      <c r="S105" s="630">
        <v>493.50000000000006</v>
      </c>
      <c r="T105" s="521">
        <f t="shared" si="68"/>
        <v>3.596800032445661E-3</v>
      </c>
      <c r="U105" s="630"/>
      <c r="V105" s="521">
        <f t="shared" si="68"/>
        <v>0</v>
      </c>
      <c r="W105" s="630">
        <v>493.50000000000006</v>
      </c>
      <c r="X105" s="521">
        <f t="shared" si="68"/>
        <v>4.4567733918764382E-3</v>
      </c>
      <c r="Y105" s="630">
        <v>493.50000000000006</v>
      </c>
      <c r="Z105" s="521">
        <f t="shared" si="68"/>
        <v>2.9502092585402388E-3</v>
      </c>
      <c r="AA105" s="633">
        <f t="shared" si="69"/>
        <v>3948.0000000000005</v>
      </c>
      <c r="AB105" s="521">
        <f t="shared" si="72"/>
        <v>2.5329352258338582E-3</v>
      </c>
      <c r="AC105" s="632">
        <f t="shared" si="66"/>
        <v>329.00000000000006</v>
      </c>
      <c r="AD105" s="521">
        <f t="shared" si="73"/>
        <v>2.5329352258338586E-3</v>
      </c>
      <c r="AE105" s="75"/>
      <c r="AF105" s="158"/>
      <c r="AG105" s="75"/>
      <c r="AH105" s="198">
        <v>12000</v>
      </c>
      <c r="AI105" s="244">
        <f>AH105/AH12</f>
        <v>1.490257164364747E-2</v>
      </c>
      <c r="AJ105" s="282">
        <f t="shared" si="26"/>
        <v>16277</v>
      </c>
      <c r="AK105" s="53">
        <f t="shared" si="27"/>
        <v>0</v>
      </c>
      <c r="AL105" s="53">
        <f t="shared" si="62"/>
        <v>3948.0000000000005</v>
      </c>
      <c r="AM105" s="53">
        <f t="shared" si="63"/>
        <v>27833.400000000005</v>
      </c>
      <c r="AN105" s="53"/>
      <c r="AQ105" s="53">
        <f t="shared" si="64"/>
        <v>0</v>
      </c>
    </row>
    <row r="106" spans="1:43">
      <c r="A106" s="2">
        <v>6313</v>
      </c>
      <c r="B106" s="2" t="s">
        <v>130</v>
      </c>
      <c r="C106" s="630"/>
      <c r="D106" s="521">
        <f t="shared" si="67"/>
        <v>0</v>
      </c>
      <c r="E106" s="630"/>
      <c r="F106" s="521">
        <f t="shared" si="67"/>
        <v>0</v>
      </c>
      <c r="G106" s="630">
        <v>241.77949709864606</v>
      </c>
      <c r="H106" s="521">
        <f t="shared" si="67"/>
        <v>1.5981349289908645E-3</v>
      </c>
      <c r="I106" s="630"/>
      <c r="J106" s="521">
        <f t="shared" si="67"/>
        <v>0</v>
      </c>
      <c r="K106" s="630">
        <v>241.77949709864606</v>
      </c>
      <c r="L106" s="521">
        <f t="shared" si="67"/>
        <v>1.9788982970024602E-3</v>
      </c>
      <c r="M106" s="630"/>
      <c r="N106" s="521">
        <f t="shared" si="67"/>
        <v>0</v>
      </c>
      <c r="O106" s="630"/>
      <c r="P106" s="521">
        <f t="shared" si="67"/>
        <v>0</v>
      </c>
      <c r="Q106" s="630">
        <v>241.77949709864606</v>
      </c>
      <c r="R106" s="521">
        <f t="shared" si="67"/>
        <v>1.7751768208273803E-3</v>
      </c>
      <c r="S106" s="630"/>
      <c r="T106" s="521">
        <f t="shared" si="68"/>
        <v>0</v>
      </c>
      <c r="U106" s="630"/>
      <c r="V106" s="521">
        <f t="shared" si="68"/>
        <v>0</v>
      </c>
      <c r="W106" s="630"/>
      <c r="X106" s="521">
        <f t="shared" si="68"/>
        <v>0</v>
      </c>
      <c r="Y106" s="630">
        <v>241.77949709864606</v>
      </c>
      <c r="Z106" s="521">
        <f t="shared" si="68"/>
        <v>1.445390295573715E-3</v>
      </c>
      <c r="AA106" s="633">
        <f t="shared" si="69"/>
        <v>967.11798839458424</v>
      </c>
      <c r="AB106" s="521">
        <f t="shared" si="72"/>
        <v>6.2047801933693585E-4</v>
      </c>
      <c r="AC106" s="632">
        <f t="shared" si="66"/>
        <v>80.593165699548692</v>
      </c>
      <c r="AD106" s="521">
        <f t="shared" si="73"/>
        <v>6.2047801933693585E-4</v>
      </c>
      <c r="AE106" s="75"/>
      <c r="AF106" s="158"/>
      <c r="AG106" s="75"/>
      <c r="AH106" s="198"/>
      <c r="AI106" s="244"/>
      <c r="AJ106" s="282"/>
      <c r="AK106" s="53"/>
      <c r="AL106" s="53"/>
      <c r="AM106" s="53"/>
      <c r="AN106" s="53"/>
      <c r="AQ106" s="53">
        <f t="shared" si="64"/>
        <v>2272.727272727273</v>
      </c>
    </row>
    <row r="107" spans="1:43">
      <c r="A107" s="2">
        <v>6314</v>
      </c>
      <c r="B107" s="2" t="s">
        <v>211</v>
      </c>
      <c r="C107" s="630"/>
      <c r="D107" s="521">
        <f t="shared" si="67"/>
        <v>0</v>
      </c>
      <c r="E107" s="630"/>
      <c r="F107" s="521">
        <f t="shared" si="67"/>
        <v>0</v>
      </c>
      <c r="G107" s="630"/>
      <c r="H107" s="521">
        <f t="shared" si="67"/>
        <v>0</v>
      </c>
      <c r="I107" s="630"/>
      <c r="J107" s="521">
        <f t="shared" si="67"/>
        <v>0</v>
      </c>
      <c r="K107" s="630"/>
      <c r="L107" s="521">
        <f t="shared" si="67"/>
        <v>0</v>
      </c>
      <c r="M107" s="630"/>
      <c r="N107" s="521">
        <f t="shared" si="67"/>
        <v>0</v>
      </c>
      <c r="O107" s="630"/>
      <c r="P107" s="521">
        <f t="shared" si="67"/>
        <v>0</v>
      </c>
      <c r="Q107" s="630"/>
      <c r="R107" s="521">
        <f t="shared" si="67"/>
        <v>0</v>
      </c>
      <c r="S107" s="630"/>
      <c r="T107" s="521">
        <f t="shared" si="68"/>
        <v>0</v>
      </c>
      <c r="U107" s="630"/>
      <c r="V107" s="521">
        <f t="shared" si="68"/>
        <v>0</v>
      </c>
      <c r="W107" s="630"/>
      <c r="X107" s="521">
        <f t="shared" si="68"/>
        <v>0</v>
      </c>
      <c r="Y107" s="630"/>
      <c r="Z107" s="521">
        <f t="shared" si="68"/>
        <v>0</v>
      </c>
      <c r="AA107" s="633">
        <f t="shared" si="69"/>
        <v>0</v>
      </c>
      <c r="AB107" s="521">
        <f t="shared" si="72"/>
        <v>0</v>
      </c>
      <c r="AC107" s="632">
        <f t="shared" si="66"/>
        <v>0</v>
      </c>
      <c r="AD107" s="521">
        <f t="shared" si="73"/>
        <v>0</v>
      </c>
      <c r="AE107" s="75"/>
      <c r="AF107" s="158"/>
      <c r="AG107" s="75"/>
      <c r="AH107" s="198">
        <v>0</v>
      </c>
      <c r="AI107" s="244">
        <f>AH107/AH12</f>
        <v>0</v>
      </c>
      <c r="AJ107" s="282">
        <f t="shared" si="26"/>
        <v>0</v>
      </c>
      <c r="AK107" s="53">
        <f t="shared" si="27"/>
        <v>0</v>
      </c>
      <c r="AL107" s="53">
        <f t="shared" ref="AL107:AL152" si="74">C107+E107+G107+I107+K107+M107+O107+Q107+S107+U107+W107+Y107</f>
        <v>0</v>
      </c>
      <c r="AM107" s="53">
        <f t="shared" ref="AM107:AM140" si="75">G107*9.4+I107*9.4+K107*9.4+M107*9.4+O107*9.4+Q107*9.4+S107*9.4+U107*9.4+W107*9.4+Y107*9.4</f>
        <v>0</v>
      </c>
      <c r="AN107" s="53"/>
      <c r="AQ107" s="53">
        <f t="shared" si="64"/>
        <v>0</v>
      </c>
    </row>
    <row r="108" spans="1:43">
      <c r="A108" s="2">
        <v>6315</v>
      </c>
      <c r="B108" s="2" t="s">
        <v>258</v>
      </c>
      <c r="C108" s="630"/>
      <c r="D108" s="521">
        <f t="shared" si="67"/>
        <v>0</v>
      </c>
      <c r="E108" s="630">
        <v>396</v>
      </c>
      <c r="F108" s="521">
        <f t="shared" si="67"/>
        <v>4.3418753151560066E-3</v>
      </c>
      <c r="G108" s="630">
        <v>531</v>
      </c>
      <c r="H108" s="521">
        <f t="shared" si="67"/>
        <v>3.5098495012086E-3</v>
      </c>
      <c r="I108" s="630">
        <v>396</v>
      </c>
      <c r="J108" s="521">
        <f t="shared" si="67"/>
        <v>2.9643622645674651E-3</v>
      </c>
      <c r="K108" s="630">
        <v>162.42021276595744</v>
      </c>
      <c r="L108" s="521">
        <f t="shared" si="67"/>
        <v>1.3293645089773427E-3</v>
      </c>
      <c r="M108" s="630"/>
      <c r="N108" s="521">
        <f t="shared" si="67"/>
        <v>0</v>
      </c>
      <c r="O108" s="630">
        <v>123.125</v>
      </c>
      <c r="P108" s="521">
        <f t="shared" si="67"/>
        <v>1.1225319920592466E-3</v>
      </c>
      <c r="Q108" s="630">
        <v>162.42021276595744</v>
      </c>
      <c r="R108" s="521">
        <f t="shared" si="67"/>
        <v>1.1925105329272092E-3</v>
      </c>
      <c r="S108" s="630"/>
      <c r="T108" s="521">
        <f t="shared" si="68"/>
        <v>0</v>
      </c>
      <c r="U108" s="630">
        <v>123.125</v>
      </c>
      <c r="V108" s="521">
        <f t="shared" si="68"/>
        <v>1.1313294682442142E-3</v>
      </c>
      <c r="W108" s="630"/>
      <c r="X108" s="521">
        <f t="shared" si="68"/>
        <v>0</v>
      </c>
      <c r="Y108" s="630">
        <v>162.42021276595744</v>
      </c>
      <c r="Z108" s="521">
        <f t="shared" si="68"/>
        <v>9.7096983885755429E-4</v>
      </c>
      <c r="AA108" s="633">
        <f t="shared" si="69"/>
        <v>2056.510638297872</v>
      </c>
      <c r="AB108" s="521">
        <f t="shared" si="72"/>
        <v>1.3194043156146786E-3</v>
      </c>
      <c r="AC108" s="632">
        <f t="shared" si="66"/>
        <v>171.37588652482268</v>
      </c>
      <c r="AD108" s="521">
        <f t="shared" si="73"/>
        <v>1.3194043156146789E-3</v>
      </c>
      <c r="AE108" s="75"/>
      <c r="AF108" s="158"/>
      <c r="AG108" s="75"/>
      <c r="AH108" s="527"/>
      <c r="AI108" s="244"/>
      <c r="AJ108" s="282"/>
      <c r="AK108" s="53"/>
      <c r="AL108" s="53"/>
      <c r="AM108" s="53"/>
      <c r="AN108" s="53"/>
      <c r="AQ108" s="53"/>
    </row>
    <row r="109" spans="1:43">
      <c r="A109" s="2">
        <v>6316</v>
      </c>
      <c r="B109" s="2" t="s">
        <v>259</v>
      </c>
      <c r="C109" s="630"/>
      <c r="D109" s="521">
        <f t="shared" si="67"/>
        <v>0</v>
      </c>
      <c r="E109" s="630">
        <v>885.45212765957444</v>
      </c>
      <c r="F109" s="521">
        <f t="shared" si="67"/>
        <v>9.7083907470643209E-3</v>
      </c>
      <c r="G109" s="630"/>
      <c r="H109" s="521">
        <f t="shared" si="67"/>
        <v>0</v>
      </c>
      <c r="I109" s="630"/>
      <c r="J109" s="521">
        <f t="shared" si="67"/>
        <v>0</v>
      </c>
      <c r="K109" s="630">
        <v>1309.8404255319149</v>
      </c>
      <c r="L109" s="521">
        <f t="shared" si="67"/>
        <v>1.0720681524010827E-2</v>
      </c>
      <c r="M109" s="630">
        <f>(4300*0.985)/9.4</f>
        <v>450.58510638297872</v>
      </c>
      <c r="N109" s="521">
        <f t="shared" si="67"/>
        <v>2.6008113209218314E-3</v>
      </c>
      <c r="O109" s="630"/>
      <c r="P109" s="521">
        <f t="shared" si="67"/>
        <v>0</v>
      </c>
      <c r="Q109" s="630">
        <v>1074.0691489361702</v>
      </c>
      <c r="R109" s="521">
        <f t="shared" si="67"/>
        <v>7.8859567500025127E-3</v>
      </c>
      <c r="S109" s="630">
        <f>(4300*0.985)/9.4</f>
        <v>450.58510638297872</v>
      </c>
      <c r="T109" s="521">
        <f t="shared" si="68"/>
        <v>3.2840213277767565E-3</v>
      </c>
      <c r="U109" s="630">
        <v>586.80851063829789</v>
      </c>
      <c r="V109" s="521">
        <f t="shared" si="68"/>
        <v>5.3918681039724255E-3</v>
      </c>
      <c r="W109" s="630"/>
      <c r="X109" s="521">
        <f t="shared" si="68"/>
        <v>0</v>
      </c>
      <c r="Y109" s="630"/>
      <c r="Z109" s="521">
        <f t="shared" si="68"/>
        <v>0</v>
      </c>
      <c r="AA109" s="633">
        <f t="shared" si="69"/>
        <v>4757.3404255319147</v>
      </c>
      <c r="AB109" s="521">
        <f t="shared" si="72"/>
        <v>3.0521872201401271E-3</v>
      </c>
      <c r="AC109" s="632">
        <f t="shared" si="66"/>
        <v>396.44503546099287</v>
      </c>
      <c r="AD109" s="521">
        <f t="shared" si="73"/>
        <v>3.0521872201401271E-3</v>
      </c>
      <c r="AE109" s="75"/>
      <c r="AF109" s="158"/>
      <c r="AG109" s="75"/>
      <c r="AH109" s="527"/>
      <c r="AI109" s="244"/>
      <c r="AJ109" s="282"/>
      <c r="AK109" s="53"/>
      <c r="AL109" s="53"/>
      <c r="AM109" s="53"/>
      <c r="AN109" s="53"/>
      <c r="AQ109" s="53"/>
    </row>
    <row r="110" spans="1:43">
      <c r="A110" s="2">
        <v>6317</v>
      </c>
      <c r="B110" s="2" t="s">
        <v>260</v>
      </c>
      <c r="C110" s="630"/>
      <c r="D110" s="521">
        <f t="shared" si="67"/>
        <v>0</v>
      </c>
      <c r="E110" s="630">
        <v>319.60106382978722</v>
      </c>
      <c r="F110" s="521">
        <f t="shared" si="67"/>
        <v>3.5042120447983643E-3</v>
      </c>
      <c r="G110" s="630"/>
      <c r="H110" s="521">
        <f t="shared" si="67"/>
        <v>0</v>
      </c>
      <c r="I110" s="630">
        <v>1353.8510638297873</v>
      </c>
      <c r="J110" s="521">
        <f t="shared" si="67"/>
        <v>1.0134608599650353E-2</v>
      </c>
      <c r="K110" s="630">
        <v>356.27659574468083</v>
      </c>
      <c r="L110" s="521">
        <f t="shared" si="67"/>
        <v>2.9160253745309449E-3</v>
      </c>
      <c r="M110" s="630"/>
      <c r="N110" s="521">
        <f t="shared" si="67"/>
        <v>0</v>
      </c>
      <c r="O110" s="630"/>
      <c r="P110" s="521">
        <f t="shared" si="67"/>
        <v>0</v>
      </c>
      <c r="Q110" s="630">
        <v>1128.1393617021276</v>
      </c>
      <c r="R110" s="521">
        <f t="shared" si="67"/>
        <v>8.2829473532221518E-3</v>
      </c>
      <c r="S110" s="630"/>
      <c r="T110" s="521">
        <f t="shared" si="68"/>
        <v>0</v>
      </c>
      <c r="U110" s="630">
        <v>319.60106382978722</v>
      </c>
      <c r="V110" s="521">
        <f t="shared" si="68"/>
        <v>2.9366424494849815E-3</v>
      </c>
      <c r="W110" s="630"/>
      <c r="X110" s="521">
        <f t="shared" si="68"/>
        <v>0</v>
      </c>
      <c r="Y110" s="630"/>
      <c r="Z110" s="521">
        <f t="shared" si="68"/>
        <v>0</v>
      </c>
      <c r="AA110" s="633">
        <f t="shared" si="69"/>
        <v>3477.4691489361703</v>
      </c>
      <c r="AB110" s="521">
        <f t="shared" si="72"/>
        <v>2.2310547376116797E-3</v>
      </c>
      <c r="AC110" s="632">
        <f t="shared" si="66"/>
        <v>289.78909574468088</v>
      </c>
      <c r="AD110" s="521">
        <f t="shared" si="73"/>
        <v>2.2310547376116802E-3</v>
      </c>
      <c r="AE110" s="75"/>
      <c r="AF110" s="158"/>
      <c r="AG110" s="75"/>
      <c r="AH110" s="527"/>
      <c r="AI110" s="244"/>
      <c r="AJ110" s="282"/>
      <c r="AK110" s="53"/>
      <c r="AL110" s="53"/>
      <c r="AM110" s="53"/>
      <c r="AN110" s="53"/>
      <c r="AQ110" s="53"/>
    </row>
    <row r="111" spans="1:43">
      <c r="A111" s="2">
        <v>6318</v>
      </c>
      <c r="B111" s="2" t="s">
        <v>261</v>
      </c>
      <c r="C111" s="630"/>
      <c r="D111" s="521">
        <f t="shared" si="67"/>
        <v>0</v>
      </c>
      <c r="E111" s="630"/>
      <c r="F111" s="521">
        <f t="shared" si="67"/>
        <v>0</v>
      </c>
      <c r="G111" s="630"/>
      <c r="H111" s="521">
        <f t="shared" si="67"/>
        <v>0</v>
      </c>
      <c r="I111" s="630"/>
      <c r="J111" s="521">
        <f t="shared" si="67"/>
        <v>0</v>
      </c>
      <c r="K111" s="630"/>
      <c r="L111" s="521">
        <f t="shared" si="67"/>
        <v>0</v>
      </c>
      <c r="M111" s="630"/>
      <c r="N111" s="521">
        <f t="shared" si="67"/>
        <v>0</v>
      </c>
      <c r="O111" s="630"/>
      <c r="P111" s="521">
        <f t="shared" si="67"/>
        <v>0</v>
      </c>
      <c r="Q111" s="630"/>
      <c r="R111" s="521">
        <f t="shared" si="67"/>
        <v>0</v>
      </c>
      <c r="S111" s="630"/>
      <c r="T111" s="521">
        <f t="shared" si="68"/>
        <v>0</v>
      </c>
      <c r="U111" s="630"/>
      <c r="V111" s="521">
        <f t="shared" si="68"/>
        <v>0</v>
      </c>
      <c r="W111" s="630"/>
      <c r="X111" s="521">
        <f t="shared" si="68"/>
        <v>0</v>
      </c>
      <c r="Y111" s="630"/>
      <c r="Z111" s="521">
        <f t="shared" si="68"/>
        <v>0</v>
      </c>
      <c r="AA111" s="633">
        <f t="shared" si="69"/>
        <v>0</v>
      </c>
      <c r="AB111" s="521">
        <f t="shared" si="72"/>
        <v>0</v>
      </c>
      <c r="AC111" s="632">
        <f t="shared" si="66"/>
        <v>0</v>
      </c>
      <c r="AD111" s="521">
        <f t="shared" si="73"/>
        <v>0</v>
      </c>
      <c r="AE111" s="75"/>
      <c r="AF111" s="158"/>
      <c r="AG111" s="75"/>
      <c r="AH111" s="527"/>
      <c r="AI111" s="244"/>
      <c r="AJ111" s="282"/>
      <c r="AK111" s="53"/>
      <c r="AL111" s="53"/>
      <c r="AM111" s="53"/>
      <c r="AN111" s="53"/>
      <c r="AQ111" s="53"/>
    </row>
    <row r="112" spans="1:43">
      <c r="A112" s="2">
        <v>6319</v>
      </c>
      <c r="B112" s="2" t="s">
        <v>262</v>
      </c>
      <c r="C112" s="630"/>
      <c r="D112" s="521">
        <f t="shared" si="67"/>
        <v>0</v>
      </c>
      <c r="E112" s="630">
        <v>3300</v>
      </c>
      <c r="F112" s="521">
        <f t="shared" si="67"/>
        <v>3.6182294292966717E-2</v>
      </c>
      <c r="G112" s="630">
        <v>3300</v>
      </c>
      <c r="H112" s="521">
        <f t="shared" si="67"/>
        <v>2.1812624018810508E-2</v>
      </c>
      <c r="I112" s="630">
        <v>3300</v>
      </c>
      <c r="J112" s="521">
        <f t="shared" si="67"/>
        <v>2.4703018871395543E-2</v>
      </c>
      <c r="K112" s="630">
        <v>3300</v>
      </c>
      <c r="L112" s="521">
        <f t="shared" si="67"/>
        <v>2.7009587076127179E-2</v>
      </c>
      <c r="M112" s="630"/>
      <c r="N112" s="521">
        <f t="shared" si="67"/>
        <v>0</v>
      </c>
      <c r="O112" s="630">
        <v>3300</v>
      </c>
      <c r="P112" s="521">
        <f t="shared" si="67"/>
        <v>3.0086136639963564E-2</v>
      </c>
      <c r="Q112" s="630">
        <v>3300</v>
      </c>
      <c r="R112" s="521">
        <f t="shared" si="67"/>
        <v>2.4229033392108745E-2</v>
      </c>
      <c r="S112" s="630">
        <v>3300</v>
      </c>
      <c r="T112" s="521">
        <f t="shared" si="68"/>
        <v>2.4051550368937549E-2</v>
      </c>
      <c r="U112" s="630">
        <v>3300</v>
      </c>
      <c r="V112" s="521">
        <f t="shared" si="68"/>
        <v>3.0321926864616502E-2</v>
      </c>
      <c r="W112" s="630">
        <v>3300</v>
      </c>
      <c r="X112" s="521">
        <f t="shared" si="68"/>
        <v>2.9802132103733017E-2</v>
      </c>
      <c r="Y112" s="630">
        <v>3300</v>
      </c>
      <c r="Z112" s="521">
        <f t="shared" si="68"/>
        <v>1.9727843066226519E-2</v>
      </c>
      <c r="AA112" s="633">
        <f t="shared" si="69"/>
        <v>33000</v>
      </c>
      <c r="AB112" s="521">
        <f t="shared" si="72"/>
        <v>2.117195097581492E-2</v>
      </c>
      <c r="AC112" s="632">
        <f t="shared" si="66"/>
        <v>2750</v>
      </c>
      <c r="AD112" s="521">
        <f t="shared" si="73"/>
        <v>2.1171950975814924E-2</v>
      </c>
      <c r="AE112" s="75"/>
      <c r="AF112" s="158"/>
      <c r="AG112" s="75"/>
      <c r="AH112" s="527"/>
      <c r="AI112" s="244"/>
      <c r="AJ112" s="282"/>
      <c r="AK112" s="53"/>
      <c r="AL112" s="53"/>
      <c r="AM112" s="53"/>
      <c r="AN112" s="53"/>
      <c r="AQ112" s="53"/>
    </row>
    <row r="113" spans="1:43">
      <c r="A113" s="2">
        <v>6320</v>
      </c>
      <c r="B113" s="2" t="s">
        <v>263</v>
      </c>
      <c r="C113" s="630"/>
      <c r="D113" s="521">
        <f t="shared" si="67"/>
        <v>0</v>
      </c>
      <c r="E113" s="630"/>
      <c r="F113" s="521">
        <f t="shared" si="67"/>
        <v>0</v>
      </c>
      <c r="G113" s="630"/>
      <c r="H113" s="521">
        <f t="shared" si="67"/>
        <v>0</v>
      </c>
      <c r="I113" s="630"/>
      <c r="J113" s="521">
        <f t="shared" si="67"/>
        <v>0</v>
      </c>
      <c r="K113" s="630"/>
      <c r="L113" s="521">
        <f t="shared" si="67"/>
        <v>0</v>
      </c>
      <c r="M113" s="630"/>
      <c r="N113" s="521">
        <f t="shared" si="67"/>
        <v>0</v>
      </c>
      <c r="O113" s="630"/>
      <c r="P113" s="521">
        <f t="shared" si="67"/>
        <v>0</v>
      </c>
      <c r="Q113" s="630"/>
      <c r="R113" s="521">
        <f t="shared" si="67"/>
        <v>0</v>
      </c>
      <c r="S113" s="630"/>
      <c r="T113" s="521">
        <f t="shared" si="68"/>
        <v>0</v>
      </c>
      <c r="U113" s="630"/>
      <c r="V113" s="521">
        <f t="shared" si="68"/>
        <v>0</v>
      </c>
      <c r="W113" s="630"/>
      <c r="X113" s="521">
        <f t="shared" si="68"/>
        <v>0</v>
      </c>
      <c r="Y113" s="630"/>
      <c r="Z113" s="521">
        <f t="shared" si="68"/>
        <v>0</v>
      </c>
      <c r="AA113" s="633">
        <f t="shared" si="69"/>
        <v>0</v>
      </c>
      <c r="AB113" s="521">
        <f t="shared" si="72"/>
        <v>0</v>
      </c>
      <c r="AC113" s="632">
        <f t="shared" si="66"/>
        <v>0</v>
      </c>
      <c r="AD113" s="521">
        <f t="shared" si="73"/>
        <v>0</v>
      </c>
      <c r="AE113" s="75"/>
      <c r="AF113" s="158"/>
      <c r="AG113" s="75"/>
      <c r="AH113" s="527"/>
      <c r="AI113" s="244"/>
      <c r="AJ113" s="282"/>
      <c r="AK113" s="53"/>
      <c r="AL113" s="53"/>
      <c r="AM113" s="53"/>
      <c r="AN113" s="53"/>
      <c r="AQ113" s="53"/>
    </row>
    <row r="114" spans="1:43">
      <c r="A114" s="2">
        <v>6321</v>
      </c>
      <c r="B114" s="2" t="s">
        <v>264</v>
      </c>
      <c r="C114" s="174">
        <v>93.085106382978722</v>
      </c>
      <c r="D114" s="635">
        <f t="shared" si="67"/>
        <v>7.9404070833091972E-4</v>
      </c>
      <c r="E114" s="174">
        <v>93.085106382978722</v>
      </c>
      <c r="F114" s="635">
        <f t="shared" si="67"/>
        <v>1.0206159737700155E-3</v>
      </c>
      <c r="G114" s="174">
        <v>93.085106382978722</v>
      </c>
      <c r="H114" s="635">
        <f t="shared" si="67"/>
        <v>6.1528194766148278E-4</v>
      </c>
      <c r="I114" s="174">
        <v>93.085106382978722</v>
      </c>
      <c r="J114" s="635">
        <f t="shared" si="67"/>
        <v>6.9681307261351059E-4</v>
      </c>
      <c r="K114" s="174">
        <v>93.085106382978722</v>
      </c>
      <c r="L114" s="635">
        <f t="shared" si="67"/>
        <v>7.6187584434594718E-4</v>
      </c>
      <c r="M114" s="174"/>
      <c r="N114" s="635">
        <f t="shared" si="67"/>
        <v>0</v>
      </c>
      <c r="O114" s="174">
        <v>93.085106382978722</v>
      </c>
      <c r="P114" s="635">
        <f t="shared" si="67"/>
        <v>8.4865794841934615E-4</v>
      </c>
      <c r="Q114" s="174">
        <v>93.085106382978722</v>
      </c>
      <c r="R114" s="635">
        <f t="shared" si="67"/>
        <v>6.8344307601854134E-4</v>
      </c>
      <c r="S114" s="174">
        <v>93.085106382978722</v>
      </c>
      <c r="T114" s="635">
        <f t="shared" si="68"/>
        <v>6.7843670447518872E-4</v>
      </c>
      <c r="U114" s="174">
        <v>93.085106382978722</v>
      </c>
      <c r="V114" s="635">
        <f t="shared" si="68"/>
        <v>8.5530902664537195E-4</v>
      </c>
      <c r="W114" s="174">
        <v>93.085106382978722</v>
      </c>
      <c r="X114" s="635">
        <f t="shared" si="68"/>
        <v>8.4064685979259792E-4</v>
      </c>
      <c r="Y114" s="174"/>
      <c r="Z114" s="635">
        <f t="shared" si="68"/>
        <v>0</v>
      </c>
      <c r="AA114" s="636">
        <f t="shared" si="69"/>
        <v>930.85106382978711</v>
      </c>
      <c r="AB114" s="635">
        <f t="shared" si="72"/>
        <v>5.9721009361180053E-4</v>
      </c>
      <c r="AC114" s="637">
        <f t="shared" si="66"/>
        <v>77.570921985815588</v>
      </c>
      <c r="AD114" s="635">
        <f t="shared" si="73"/>
        <v>5.9721009361180053E-4</v>
      </c>
      <c r="AE114" s="75"/>
      <c r="AF114" s="158"/>
      <c r="AG114" s="75"/>
      <c r="AH114" s="527"/>
      <c r="AI114" s="244"/>
      <c r="AJ114" s="282"/>
      <c r="AK114" s="53"/>
      <c r="AL114" s="53"/>
      <c r="AM114" s="53"/>
      <c r="AN114" s="53"/>
      <c r="AQ114" s="53"/>
    </row>
    <row r="115" spans="1:43" ht="15.75" thickBot="1">
      <c r="A115" s="4">
        <v>6399</v>
      </c>
      <c r="B115" s="109" t="s">
        <v>101</v>
      </c>
      <c r="C115" s="165">
        <f>SUM(C94:C114)</f>
        <v>4488.8212885844414</v>
      </c>
      <c r="D115" s="529">
        <f>C115/C12</f>
        <v>3.8290839147714188E-2</v>
      </c>
      <c r="E115" s="165">
        <f>SUM(E94:E114)</f>
        <v>6300.0128849285566</v>
      </c>
      <c r="F115" s="529">
        <f>E115/E12</f>
        <v>6.9075430379384031E-2</v>
      </c>
      <c r="G115" s="165">
        <f>SUM(G94:G114)</f>
        <v>5121.2336021116707</v>
      </c>
      <c r="H115" s="529">
        <f>G115/G12</f>
        <v>3.3850770628897117E-2</v>
      </c>
      <c r="I115" s="165">
        <f>SUM(I94:I114)</f>
        <v>5798.1113847317611</v>
      </c>
      <c r="J115" s="529">
        <f>I115/I12</f>
        <v>4.34032893804491E-2</v>
      </c>
      <c r="K115" s="165">
        <f>SUM(K94:K114)</f>
        <v>6885.5889369502374</v>
      </c>
      <c r="L115" s="529">
        <f>K115/K12</f>
        <v>5.635664059484103E-2</v>
      </c>
      <c r="M115" s="165">
        <f>SUM(M94:M114)</f>
        <v>899.05008890080899</v>
      </c>
      <c r="N115" s="529">
        <f>M115/M12</f>
        <v>5.1893851265061098E-3</v>
      </c>
      <c r="O115" s="165">
        <f>SUM(O94:O114)</f>
        <v>4555.0664231330838</v>
      </c>
      <c r="P115" s="529">
        <f>O115/O12</f>
        <v>4.1528591154694559E-2</v>
      </c>
      <c r="Q115" s="165">
        <f>SUM(Q94:Q114)</f>
        <v>6568.3940552181712</v>
      </c>
      <c r="R115" s="530">
        <f>Q115/Q12</f>
        <v>4.8226011786790805E-2</v>
      </c>
      <c r="S115" s="165">
        <f>SUM(S94:S114)</f>
        <v>5449.9468486467467</v>
      </c>
      <c r="T115" s="529">
        <f>S115/S12</f>
        <v>3.9721112466139297E-2</v>
      </c>
      <c r="U115" s="165">
        <f>SUM(U94:U114)</f>
        <v>5587.3117442705734</v>
      </c>
      <c r="V115" s="529">
        <f>U115/U12</f>
        <v>5.1338805478662181E-2</v>
      </c>
      <c r="W115" s="165">
        <f>SUM(W94:W114)</f>
        <v>4533.4207801037537</v>
      </c>
      <c r="X115" s="529">
        <f>W115/W12</f>
        <v>4.0941092415291043E-2</v>
      </c>
      <c r="Y115" s="165">
        <f>SUM(Y94:Y114)</f>
        <v>4873.1537630160983</v>
      </c>
      <c r="Z115" s="529">
        <f>Y115/Y12</f>
        <v>2.9132367477082668E-2</v>
      </c>
      <c r="AA115" s="165">
        <f>SUM(AA94:AA114)</f>
        <v>61060.1118005959</v>
      </c>
      <c r="AB115" s="531">
        <f>AA115/AA12</f>
        <v>3.9174596776363473E-2</v>
      </c>
      <c r="AC115" s="532">
        <f t="shared" si="66"/>
        <v>5088.342650049658</v>
      </c>
      <c r="AD115" s="531">
        <f>AC115/AC12</f>
        <v>3.9174596776363473E-2</v>
      </c>
      <c r="AE115" s="75"/>
      <c r="AF115" s="158"/>
      <c r="AG115" s="75"/>
      <c r="AH115" s="199">
        <f>SUM(AH94:AH107)</f>
        <v>36469.838933130704</v>
      </c>
      <c r="AI115" s="248">
        <f>AH115/AH12</f>
        <v>4.5291198961105346E-2</v>
      </c>
      <c r="AJ115" s="286">
        <f t="shared" si="26"/>
        <v>102618.29338377627</v>
      </c>
      <c r="AK115" s="53">
        <f t="shared" si="27"/>
        <v>0</v>
      </c>
      <c r="AL115" s="53">
        <f t="shared" si="74"/>
        <v>61060.111800595907</v>
      </c>
      <c r="AM115" s="53">
        <f t="shared" si="75"/>
        <v>472550.00969457935</v>
      </c>
      <c r="AN115" s="53"/>
      <c r="AQ115" s="53">
        <f t="shared" si="64"/>
        <v>61742.904119050814</v>
      </c>
    </row>
    <row r="116" spans="1:43" ht="15.75" thickTop="1">
      <c r="A116" s="16">
        <v>6401</v>
      </c>
      <c r="B116" s="107" t="s">
        <v>89</v>
      </c>
      <c r="C116" s="524">
        <v>0</v>
      </c>
      <c r="D116" s="49">
        <f>C116/C12</f>
        <v>0</v>
      </c>
      <c r="E116" s="524">
        <v>0</v>
      </c>
      <c r="F116" s="49">
        <f>E116/E12</f>
        <v>0</v>
      </c>
      <c r="G116" s="524">
        <v>0</v>
      </c>
      <c r="H116" s="49">
        <f>G116/G12</f>
        <v>0</v>
      </c>
      <c r="I116" s="524">
        <v>0</v>
      </c>
      <c r="J116" s="49">
        <f>I116/I12</f>
        <v>0</v>
      </c>
      <c r="K116" s="524">
        <v>0</v>
      </c>
      <c r="L116" s="49">
        <f>K116/K12</f>
        <v>0</v>
      </c>
      <c r="M116" s="524">
        <v>0</v>
      </c>
      <c r="N116" s="49">
        <f>M116/M12</f>
        <v>0</v>
      </c>
      <c r="O116" s="524">
        <v>0</v>
      </c>
      <c r="P116" s="49">
        <f>O116/O12</f>
        <v>0</v>
      </c>
      <c r="Q116" s="524">
        <v>0</v>
      </c>
      <c r="R116" s="49">
        <f>Q116/Q12</f>
        <v>0</v>
      </c>
      <c r="S116" s="524">
        <v>0</v>
      </c>
      <c r="T116" s="49">
        <f>S116/S12</f>
        <v>0</v>
      </c>
      <c r="U116" s="524">
        <v>0</v>
      </c>
      <c r="V116" s="49">
        <f>U116/U12</f>
        <v>0</v>
      </c>
      <c r="W116" s="524">
        <v>0</v>
      </c>
      <c r="X116" s="49">
        <f>W116/W12</f>
        <v>0</v>
      </c>
      <c r="Y116" s="524">
        <v>0</v>
      </c>
      <c r="Z116" s="168">
        <f>Y116/Y12</f>
        <v>0</v>
      </c>
      <c r="AA116" s="275">
        <f t="shared" ref="AA116:AA128" si="76">C116+E116+G116+I116+K116+M116+O116+Q116+S116+U116+W116+Y116</f>
        <v>0</v>
      </c>
      <c r="AB116" s="203">
        <f>AA116/AA12</f>
        <v>0</v>
      </c>
      <c r="AC116" s="194">
        <f t="shared" si="66"/>
        <v>0</v>
      </c>
      <c r="AD116" s="203">
        <f>AC116/AC12</f>
        <v>0</v>
      </c>
      <c r="AE116" s="75"/>
      <c r="AF116" s="158"/>
      <c r="AG116" s="75"/>
      <c r="AH116" s="194"/>
      <c r="AI116" s="244">
        <f>AH116/AH12</f>
        <v>0</v>
      </c>
      <c r="AJ116" s="282">
        <f t="shared" ref="AJ116:AJ152" si="77">SUM(AA116+AC116+AH116)</f>
        <v>0</v>
      </c>
      <c r="AK116" s="53">
        <f t="shared" si="27"/>
        <v>0</v>
      </c>
      <c r="AL116" s="53">
        <f t="shared" si="74"/>
        <v>0</v>
      </c>
      <c r="AM116" s="53">
        <f t="shared" si="75"/>
        <v>0</v>
      </c>
      <c r="AN116" s="53"/>
      <c r="AQ116" s="53">
        <f t="shared" si="64"/>
        <v>0</v>
      </c>
    </row>
    <row r="117" spans="1:43">
      <c r="A117" s="98">
        <v>6402</v>
      </c>
      <c r="B117" s="2" t="s">
        <v>75</v>
      </c>
      <c r="C117" s="524">
        <v>50</v>
      </c>
      <c r="D117" s="49">
        <f>C117/C12</f>
        <v>4.2651329476060834E-4</v>
      </c>
      <c r="E117" s="524">
        <v>50</v>
      </c>
      <c r="F117" s="49">
        <f>E117/E12</f>
        <v>5.4821658019646544E-4</v>
      </c>
      <c r="G117" s="524">
        <v>50</v>
      </c>
      <c r="H117" s="49">
        <f>G117/G12</f>
        <v>3.3049430331531072E-4</v>
      </c>
      <c r="I117" s="524">
        <v>50</v>
      </c>
      <c r="J117" s="49">
        <f>I117/I12</f>
        <v>3.7428816471811428E-4</v>
      </c>
      <c r="K117" s="524">
        <v>50</v>
      </c>
      <c r="L117" s="49">
        <f>K117/K12</f>
        <v>4.0923616782010877E-4</v>
      </c>
      <c r="M117" s="524">
        <v>50</v>
      </c>
      <c r="N117" s="49">
        <f>M117/M12</f>
        <v>2.8860378251286995E-4</v>
      </c>
      <c r="O117" s="524">
        <v>50</v>
      </c>
      <c r="P117" s="49">
        <f>O117/O12</f>
        <v>4.5585055515096306E-4</v>
      </c>
      <c r="Q117" s="524">
        <v>50</v>
      </c>
      <c r="R117" s="49">
        <f>Q117/Q12</f>
        <v>3.6710656654710222E-4</v>
      </c>
      <c r="S117" s="524">
        <v>50</v>
      </c>
      <c r="T117" s="49">
        <f>S117/S12</f>
        <v>3.6441742983238709E-4</v>
      </c>
      <c r="U117" s="524">
        <v>50</v>
      </c>
      <c r="V117" s="49">
        <f>U117/U12</f>
        <v>4.5942313431237127E-4</v>
      </c>
      <c r="W117" s="524">
        <v>50</v>
      </c>
      <c r="X117" s="49">
        <f>W117/W12</f>
        <v>4.5154745611716688E-4</v>
      </c>
      <c r="Y117" s="524">
        <v>50</v>
      </c>
      <c r="Z117" s="168">
        <f>Y117/Y12</f>
        <v>2.9890671312464423E-4</v>
      </c>
      <c r="AA117" s="275">
        <f t="shared" si="76"/>
        <v>600</v>
      </c>
      <c r="AB117" s="203">
        <f>AA117/AA12</f>
        <v>3.8494456319663491E-4</v>
      </c>
      <c r="AC117" s="196">
        <f t="shared" si="66"/>
        <v>50</v>
      </c>
      <c r="AD117" s="203">
        <f>AC117/AC12</f>
        <v>3.8494456319663496E-4</v>
      </c>
      <c r="AE117" s="159"/>
      <c r="AF117" s="227"/>
      <c r="AG117" s="75"/>
      <c r="AH117" s="196">
        <v>1100.269</v>
      </c>
      <c r="AI117" s="244">
        <f>AH117/AH12</f>
        <v>1.3664031333153633E-3</v>
      </c>
      <c r="AJ117" s="282">
        <f t="shared" si="77"/>
        <v>1750.269</v>
      </c>
      <c r="AK117" s="53">
        <f t="shared" si="27"/>
        <v>0</v>
      </c>
      <c r="AL117" s="53">
        <f t="shared" si="74"/>
        <v>600</v>
      </c>
      <c r="AM117" s="53">
        <f t="shared" si="75"/>
        <v>4700</v>
      </c>
      <c r="AN117" s="53"/>
      <c r="AQ117" s="53">
        <f t="shared" si="64"/>
        <v>470</v>
      </c>
    </row>
    <row r="118" spans="1:43" s="539" customFormat="1">
      <c r="A118" s="98">
        <v>6403</v>
      </c>
      <c r="B118" s="2" t="s">
        <v>270</v>
      </c>
      <c r="C118" s="524">
        <v>0</v>
      </c>
      <c r="D118" s="521">
        <f>C118/C12</f>
        <v>0</v>
      </c>
      <c r="E118" s="524">
        <v>0</v>
      </c>
      <c r="F118" s="521">
        <f>E118/E12</f>
        <v>0</v>
      </c>
      <c r="G118" s="524">
        <v>0</v>
      </c>
      <c r="H118" s="521">
        <f>G118/G12</f>
        <v>0</v>
      </c>
      <c r="I118" s="524">
        <v>0</v>
      </c>
      <c r="J118" s="521">
        <f>I118/I12</f>
        <v>0</v>
      </c>
      <c r="K118" s="524">
        <v>0</v>
      </c>
      <c r="L118" s="521">
        <f>K118/K12</f>
        <v>0</v>
      </c>
      <c r="M118" s="524">
        <v>0</v>
      </c>
      <c r="N118" s="521">
        <f>M118/M12</f>
        <v>0</v>
      </c>
      <c r="O118" s="524">
        <v>0</v>
      </c>
      <c r="P118" s="521">
        <f>O118/O12</f>
        <v>0</v>
      </c>
      <c r="Q118" s="524">
        <v>0</v>
      </c>
      <c r="R118" s="521">
        <f>Q118/Q12</f>
        <v>0</v>
      </c>
      <c r="S118" s="524">
        <v>0</v>
      </c>
      <c r="T118" s="521">
        <f>S118/S12</f>
        <v>0</v>
      </c>
      <c r="U118" s="524">
        <v>0</v>
      </c>
      <c r="V118" s="521">
        <f>U118/U12</f>
        <v>0</v>
      </c>
      <c r="W118" s="524">
        <v>0</v>
      </c>
      <c r="X118" s="521">
        <f>W118/W12</f>
        <v>0</v>
      </c>
      <c r="Y118" s="524">
        <v>0</v>
      </c>
      <c r="Z118" s="521">
        <f>Y118/Y12</f>
        <v>0</v>
      </c>
      <c r="AA118" s="524">
        <v>0</v>
      </c>
      <c r="AB118" s="521">
        <f>AA118/AA12</f>
        <v>0</v>
      </c>
      <c r="AC118" s="524">
        <v>0</v>
      </c>
      <c r="AD118" s="521">
        <f>AC118/AC12</f>
        <v>0</v>
      </c>
      <c r="AE118" s="159"/>
      <c r="AF118" s="227"/>
      <c r="AG118" s="542"/>
      <c r="AH118" s="526"/>
      <c r="AI118" s="244"/>
      <c r="AJ118" s="282"/>
      <c r="AK118" s="53"/>
      <c r="AL118" s="53"/>
      <c r="AM118" s="53"/>
      <c r="AN118" s="53"/>
      <c r="AQ118" s="53"/>
    </row>
    <row r="119" spans="1:43">
      <c r="A119" s="98">
        <v>6404</v>
      </c>
      <c r="B119" s="2" t="s">
        <v>91</v>
      </c>
      <c r="C119" s="524">
        <v>0</v>
      </c>
      <c r="D119" s="49">
        <f>C119/C12</f>
        <v>0</v>
      </c>
      <c r="E119" s="524">
        <v>0</v>
      </c>
      <c r="F119" s="49">
        <f>E119/E12</f>
        <v>0</v>
      </c>
      <c r="G119" s="524">
        <v>0</v>
      </c>
      <c r="H119" s="49">
        <f>G119/G12</f>
        <v>0</v>
      </c>
      <c r="I119" s="524">
        <v>0</v>
      </c>
      <c r="J119" s="49">
        <f>I119/I12</f>
        <v>0</v>
      </c>
      <c r="K119" s="524">
        <v>0</v>
      </c>
      <c r="L119" s="49">
        <f>K119/K12</f>
        <v>0</v>
      </c>
      <c r="M119" s="524">
        <v>0</v>
      </c>
      <c r="N119" s="49">
        <f>M119/M12</f>
        <v>0</v>
      </c>
      <c r="O119" s="524">
        <v>0</v>
      </c>
      <c r="P119" s="49">
        <f>O119/O12</f>
        <v>0</v>
      </c>
      <c r="Q119" s="524">
        <v>0</v>
      </c>
      <c r="R119" s="49">
        <f>Q119/Q12</f>
        <v>0</v>
      </c>
      <c r="S119" s="524">
        <v>0</v>
      </c>
      <c r="T119" s="49">
        <f>S119/S12</f>
        <v>0</v>
      </c>
      <c r="U119" s="524">
        <v>0</v>
      </c>
      <c r="V119" s="49">
        <f>U119/U12</f>
        <v>0</v>
      </c>
      <c r="W119" s="524">
        <v>0</v>
      </c>
      <c r="X119" s="49">
        <f>W119/W12</f>
        <v>0</v>
      </c>
      <c r="Y119" s="524">
        <v>0</v>
      </c>
      <c r="Z119" s="168">
        <f>Y119/Y12</f>
        <v>0</v>
      </c>
      <c r="AA119" s="275">
        <f t="shared" si="76"/>
        <v>0</v>
      </c>
      <c r="AB119" s="203">
        <f>AA119/AA12</f>
        <v>0</v>
      </c>
      <c r="AC119" s="196">
        <f t="shared" si="66"/>
        <v>0</v>
      </c>
      <c r="AD119" s="203">
        <f>AC119/AC12</f>
        <v>0</v>
      </c>
      <c r="AE119" s="159"/>
      <c r="AF119" s="227"/>
      <c r="AG119" s="75"/>
      <c r="AH119" s="196">
        <v>0</v>
      </c>
      <c r="AI119" s="244">
        <f>AH119/AH12</f>
        <v>0</v>
      </c>
      <c r="AJ119" s="282">
        <f t="shared" si="77"/>
        <v>0</v>
      </c>
      <c r="AK119" s="53">
        <f t="shared" si="27"/>
        <v>0</v>
      </c>
      <c r="AL119" s="53">
        <f t="shared" si="74"/>
        <v>0</v>
      </c>
      <c r="AM119" s="53">
        <f t="shared" si="75"/>
        <v>0</v>
      </c>
      <c r="AN119" s="53"/>
      <c r="AQ119" s="53">
        <f t="shared" si="64"/>
        <v>0</v>
      </c>
    </row>
    <row r="120" spans="1:43">
      <c r="A120" s="98">
        <v>6406</v>
      </c>
      <c r="B120" s="2" t="s">
        <v>73</v>
      </c>
      <c r="C120" s="540">
        <v>75</v>
      </c>
      <c r="D120" s="49">
        <f>C120/C12</f>
        <v>6.3976994214091248E-4</v>
      </c>
      <c r="E120" s="540">
        <v>75</v>
      </c>
      <c r="F120" s="49">
        <f>E120/E12</f>
        <v>8.2232487029469821E-4</v>
      </c>
      <c r="G120" s="540">
        <v>75</v>
      </c>
      <c r="H120" s="49">
        <f>G120/G12</f>
        <v>4.9574145497296605E-4</v>
      </c>
      <c r="I120" s="540">
        <v>75</v>
      </c>
      <c r="J120" s="49">
        <f>I120/I12</f>
        <v>5.6143224707717139E-4</v>
      </c>
      <c r="K120" s="540">
        <v>75</v>
      </c>
      <c r="L120" s="49">
        <f>K120/K12</f>
        <v>6.1385425173016313E-4</v>
      </c>
      <c r="M120" s="540">
        <v>75</v>
      </c>
      <c r="N120" s="49">
        <f>M120/M12</f>
        <v>4.3290567376930492E-4</v>
      </c>
      <c r="O120" s="540">
        <v>75</v>
      </c>
      <c r="P120" s="49">
        <f>O120/O12</f>
        <v>6.8377583272644462E-4</v>
      </c>
      <c r="Q120" s="540">
        <v>75</v>
      </c>
      <c r="R120" s="49">
        <f>Q120/Q12</f>
        <v>5.506598498206533E-4</v>
      </c>
      <c r="S120" s="540">
        <v>75</v>
      </c>
      <c r="T120" s="49">
        <f>S120/S12</f>
        <v>5.4662614474858067E-4</v>
      </c>
      <c r="U120" s="540">
        <v>75</v>
      </c>
      <c r="V120" s="49">
        <f>U120/U12</f>
        <v>6.8913470146855684E-4</v>
      </c>
      <c r="W120" s="540">
        <v>75</v>
      </c>
      <c r="X120" s="49">
        <f>W120/W12</f>
        <v>6.7732118417575032E-4</v>
      </c>
      <c r="Y120" s="540">
        <v>75</v>
      </c>
      <c r="Z120" s="168">
        <f>Y120/Y12</f>
        <v>4.4836006968696629E-4</v>
      </c>
      <c r="AA120" s="275">
        <f t="shared" si="76"/>
        <v>900</v>
      </c>
      <c r="AB120" s="203">
        <f>AA120/AA12</f>
        <v>5.7741684479495239E-4</v>
      </c>
      <c r="AC120" s="194">
        <f t="shared" si="66"/>
        <v>75</v>
      </c>
      <c r="AD120" s="203">
        <f>AC120/AC12</f>
        <v>5.7741684479495239E-4</v>
      </c>
      <c r="AE120" s="159"/>
      <c r="AF120" s="227"/>
      <c r="AG120" s="75"/>
      <c r="AH120" s="194">
        <v>0</v>
      </c>
      <c r="AI120" s="244">
        <f>AH120/AH12</f>
        <v>0</v>
      </c>
      <c r="AJ120" s="282">
        <f t="shared" si="77"/>
        <v>975</v>
      </c>
      <c r="AK120" s="53">
        <f t="shared" si="27"/>
        <v>0</v>
      </c>
      <c r="AL120" s="53">
        <f t="shared" si="74"/>
        <v>900</v>
      </c>
      <c r="AM120" s="53">
        <f t="shared" si="75"/>
        <v>7050</v>
      </c>
      <c r="AN120" s="53"/>
      <c r="AQ120" s="53">
        <f t="shared" si="64"/>
        <v>705</v>
      </c>
    </row>
    <row r="121" spans="1:43">
      <c r="A121" s="2">
        <v>6407</v>
      </c>
      <c r="B121" s="108" t="s">
        <v>74</v>
      </c>
      <c r="C121" s="509">
        <v>0</v>
      </c>
      <c r="D121" s="49">
        <f>C121/C12</f>
        <v>0</v>
      </c>
      <c r="E121" s="509">
        <v>0</v>
      </c>
      <c r="F121" s="49">
        <f>E121/E12</f>
        <v>0</v>
      </c>
      <c r="G121" s="509">
        <v>0</v>
      </c>
      <c r="H121" s="49">
        <f>G121/G12</f>
        <v>0</v>
      </c>
      <c r="I121" s="509">
        <v>0</v>
      </c>
      <c r="J121" s="49">
        <f>I121/I12</f>
        <v>0</v>
      </c>
      <c r="K121" s="509">
        <v>0</v>
      </c>
      <c r="L121" s="49">
        <f>K121/K12</f>
        <v>0</v>
      </c>
      <c r="M121" s="509">
        <v>0</v>
      </c>
      <c r="N121" s="49">
        <f>M121/M12</f>
        <v>0</v>
      </c>
      <c r="O121" s="509">
        <v>0</v>
      </c>
      <c r="P121" s="49">
        <f>O121/O12</f>
        <v>0</v>
      </c>
      <c r="Q121" s="509">
        <v>0</v>
      </c>
      <c r="R121" s="49">
        <f>Q121/Q12</f>
        <v>0</v>
      </c>
      <c r="S121" s="509">
        <v>0</v>
      </c>
      <c r="T121" s="49">
        <f>S121/S12</f>
        <v>0</v>
      </c>
      <c r="U121" s="509">
        <v>0</v>
      </c>
      <c r="V121" s="49">
        <f>U121/U12</f>
        <v>0</v>
      </c>
      <c r="W121" s="509">
        <v>0</v>
      </c>
      <c r="X121" s="49">
        <f>W121/W12</f>
        <v>0</v>
      </c>
      <c r="Y121" s="509">
        <v>0</v>
      </c>
      <c r="Z121" s="168">
        <f>Y121/Y12</f>
        <v>0</v>
      </c>
      <c r="AA121" s="275">
        <f t="shared" si="76"/>
        <v>0</v>
      </c>
      <c r="AB121" s="203">
        <f>AA121/AA12</f>
        <v>0</v>
      </c>
      <c r="AC121" s="194">
        <f t="shared" si="66"/>
        <v>0</v>
      </c>
      <c r="AD121" s="203">
        <f>AC121/AC12</f>
        <v>0</v>
      </c>
      <c r="AE121" s="159"/>
      <c r="AF121" s="227"/>
      <c r="AG121" s="75"/>
      <c r="AH121" s="194">
        <v>0</v>
      </c>
      <c r="AI121" s="244">
        <f>AH121/AH12</f>
        <v>0</v>
      </c>
      <c r="AJ121" s="282">
        <f t="shared" si="77"/>
        <v>0</v>
      </c>
      <c r="AK121" s="53">
        <f t="shared" si="27"/>
        <v>0</v>
      </c>
      <c r="AL121" s="53">
        <f t="shared" si="74"/>
        <v>0</v>
      </c>
      <c r="AM121" s="53">
        <f t="shared" si="75"/>
        <v>0</v>
      </c>
      <c r="AN121" s="53"/>
      <c r="AQ121" s="53">
        <f t="shared" si="64"/>
        <v>0</v>
      </c>
    </row>
    <row r="122" spans="1:43">
      <c r="A122" s="2">
        <v>6408</v>
      </c>
      <c r="B122" s="108" t="s">
        <v>43</v>
      </c>
      <c r="C122" s="130">
        <v>0</v>
      </c>
      <c r="D122" s="168">
        <f>C122/C$12</f>
        <v>0</v>
      </c>
      <c r="E122" s="524">
        <v>0</v>
      </c>
      <c r="F122" s="49">
        <f>E122/E12</f>
        <v>0</v>
      </c>
      <c r="G122" s="524">
        <v>0</v>
      </c>
      <c r="H122" s="49">
        <f>G122/G12</f>
        <v>0</v>
      </c>
      <c r="I122" s="524">
        <v>0</v>
      </c>
      <c r="J122" s="49">
        <f>I122/I12</f>
        <v>0</v>
      </c>
      <c r="K122" s="524">
        <v>0</v>
      </c>
      <c r="L122" s="49">
        <f>K122/K12</f>
        <v>0</v>
      </c>
      <c r="M122" s="524">
        <v>0</v>
      </c>
      <c r="N122" s="49">
        <f>M122/M12</f>
        <v>0</v>
      </c>
      <c r="O122" s="524">
        <v>0</v>
      </c>
      <c r="P122" s="49">
        <f>O122/O12</f>
        <v>0</v>
      </c>
      <c r="Q122" s="524">
        <v>0</v>
      </c>
      <c r="R122" s="49">
        <f>Q122/Q12</f>
        <v>0</v>
      </c>
      <c r="S122" s="524">
        <v>0</v>
      </c>
      <c r="T122" s="49">
        <f>S122/S12</f>
        <v>0</v>
      </c>
      <c r="U122" s="524">
        <v>0</v>
      </c>
      <c r="V122" s="49">
        <f>U122/U12</f>
        <v>0</v>
      </c>
      <c r="W122" s="524">
        <v>0</v>
      </c>
      <c r="X122" s="49">
        <f>W122/W12</f>
        <v>0</v>
      </c>
      <c r="Y122" s="524">
        <v>0</v>
      </c>
      <c r="Z122" s="168">
        <f>Y122/Y12</f>
        <v>0</v>
      </c>
      <c r="AA122" s="275">
        <f t="shared" si="76"/>
        <v>0</v>
      </c>
      <c r="AB122" s="203">
        <f>AA122/AA12</f>
        <v>0</v>
      </c>
      <c r="AC122" s="194">
        <f t="shared" si="66"/>
        <v>0</v>
      </c>
      <c r="AD122" s="203">
        <f>AC122/AC12</f>
        <v>0</v>
      </c>
      <c r="AE122" s="159"/>
      <c r="AF122" s="227"/>
      <c r="AG122" s="75"/>
      <c r="AH122" s="194">
        <v>0</v>
      </c>
      <c r="AI122" s="244">
        <f>AH122/AH12</f>
        <v>0</v>
      </c>
      <c r="AJ122" s="282">
        <f t="shared" si="77"/>
        <v>0</v>
      </c>
      <c r="AK122" s="53">
        <f t="shared" si="27"/>
        <v>0</v>
      </c>
      <c r="AL122" s="53">
        <f t="shared" si="74"/>
        <v>0</v>
      </c>
      <c r="AM122" s="53">
        <f t="shared" si="75"/>
        <v>0</v>
      </c>
      <c r="AN122" s="53"/>
      <c r="AQ122" s="53">
        <f t="shared" si="64"/>
        <v>0</v>
      </c>
    </row>
    <row r="123" spans="1:43">
      <c r="A123" s="2">
        <v>6410</v>
      </c>
      <c r="B123" s="108" t="s">
        <v>105</v>
      </c>
      <c r="C123" s="130">
        <v>0</v>
      </c>
      <c r="D123" s="49"/>
      <c r="E123" s="524">
        <v>0</v>
      </c>
      <c r="F123" s="49"/>
      <c r="G123" s="524">
        <v>0</v>
      </c>
      <c r="H123" s="49"/>
      <c r="I123" s="524">
        <v>0</v>
      </c>
      <c r="J123" s="49"/>
      <c r="K123" s="524">
        <v>0</v>
      </c>
      <c r="L123" s="49"/>
      <c r="M123" s="524">
        <v>0</v>
      </c>
      <c r="N123" s="49"/>
      <c r="O123" s="524">
        <v>0</v>
      </c>
      <c r="P123" s="49"/>
      <c r="Q123" s="524">
        <v>0</v>
      </c>
      <c r="R123" s="49"/>
      <c r="S123" s="524">
        <v>0</v>
      </c>
      <c r="T123" s="49"/>
      <c r="U123" s="524">
        <v>0</v>
      </c>
      <c r="V123" s="49"/>
      <c r="W123" s="524">
        <v>0</v>
      </c>
      <c r="X123" s="49"/>
      <c r="Y123" s="524">
        <v>0</v>
      </c>
      <c r="Z123" s="168"/>
      <c r="AA123" s="275">
        <f t="shared" si="76"/>
        <v>0</v>
      </c>
      <c r="AB123" s="203"/>
      <c r="AC123" s="194">
        <f t="shared" si="66"/>
        <v>0</v>
      </c>
      <c r="AD123" s="203"/>
      <c r="AE123" s="159"/>
      <c r="AF123" s="227"/>
      <c r="AG123" s="75"/>
      <c r="AH123" s="194">
        <v>0</v>
      </c>
      <c r="AI123" s="244"/>
      <c r="AJ123" s="282">
        <f t="shared" si="77"/>
        <v>0</v>
      </c>
      <c r="AK123" s="53">
        <f t="shared" si="27"/>
        <v>0</v>
      </c>
      <c r="AL123" s="53">
        <f t="shared" si="74"/>
        <v>0</v>
      </c>
      <c r="AM123" s="53">
        <f t="shared" si="75"/>
        <v>0</v>
      </c>
      <c r="AN123" s="53"/>
      <c r="AQ123" s="53">
        <f t="shared" si="64"/>
        <v>0</v>
      </c>
    </row>
    <row r="124" spans="1:43">
      <c r="A124" s="2">
        <v>6411</v>
      </c>
      <c r="B124" s="108" t="s">
        <v>107</v>
      </c>
      <c r="C124" s="130"/>
      <c r="D124" s="49"/>
      <c r="E124" s="524"/>
      <c r="F124" s="49"/>
      <c r="G124" s="524"/>
      <c r="H124" s="49"/>
      <c r="I124" s="524"/>
      <c r="J124" s="49"/>
      <c r="K124" s="524"/>
      <c r="L124" s="49"/>
      <c r="M124" s="524"/>
      <c r="N124" s="49"/>
      <c r="O124" s="524"/>
      <c r="P124" s="49"/>
      <c r="Q124" s="524"/>
      <c r="R124" s="49"/>
      <c r="S124" s="524"/>
      <c r="T124" s="49"/>
      <c r="U124" s="524"/>
      <c r="V124" s="49"/>
      <c r="W124" s="524"/>
      <c r="X124" s="49"/>
      <c r="Y124" s="524"/>
      <c r="Z124" s="168"/>
      <c r="AA124" s="275">
        <f t="shared" si="76"/>
        <v>0</v>
      </c>
      <c r="AB124" s="203"/>
      <c r="AC124" s="194">
        <f t="shared" si="66"/>
        <v>0</v>
      </c>
      <c r="AD124" s="203"/>
      <c r="AE124" s="159"/>
      <c r="AF124" s="227"/>
      <c r="AG124" s="75"/>
      <c r="AH124" s="194">
        <v>0</v>
      </c>
      <c r="AI124" s="244"/>
      <c r="AJ124" s="282">
        <f t="shared" si="77"/>
        <v>0</v>
      </c>
      <c r="AK124" s="53">
        <f t="shared" si="27"/>
        <v>0</v>
      </c>
      <c r="AL124" s="53">
        <f t="shared" si="74"/>
        <v>0</v>
      </c>
      <c r="AM124" s="53">
        <f t="shared" si="75"/>
        <v>0</v>
      </c>
      <c r="AN124" s="53"/>
      <c r="AQ124" s="53">
        <f t="shared" si="64"/>
        <v>0</v>
      </c>
    </row>
    <row r="125" spans="1:43">
      <c r="A125" s="2">
        <v>6412</v>
      </c>
      <c r="B125" s="108" t="s">
        <v>92</v>
      </c>
      <c r="C125" s="130"/>
      <c r="D125" s="49">
        <f>C125/C12</f>
        <v>0</v>
      </c>
      <c r="E125" s="524"/>
      <c r="F125" s="49">
        <f>E125/E12</f>
        <v>0</v>
      </c>
      <c r="G125" s="524"/>
      <c r="H125" s="49">
        <f>G125/G12</f>
        <v>0</v>
      </c>
      <c r="I125" s="524"/>
      <c r="J125" s="49">
        <f>I125/I12</f>
        <v>0</v>
      </c>
      <c r="K125" s="524"/>
      <c r="L125" s="49">
        <f>K125/K12</f>
        <v>0</v>
      </c>
      <c r="M125" s="524"/>
      <c r="N125" s="49">
        <f>M125/M12</f>
        <v>0</v>
      </c>
      <c r="O125" s="524"/>
      <c r="P125" s="49">
        <f>O125/O12</f>
        <v>0</v>
      </c>
      <c r="Q125" s="524"/>
      <c r="R125" s="49">
        <f>Q125/Q12</f>
        <v>0</v>
      </c>
      <c r="S125" s="524"/>
      <c r="T125" s="49">
        <f>S125/S12</f>
        <v>0</v>
      </c>
      <c r="U125" s="524"/>
      <c r="V125" s="49">
        <f>U125/U12</f>
        <v>0</v>
      </c>
      <c r="W125" s="524"/>
      <c r="X125" s="49">
        <f>W125/W12</f>
        <v>0</v>
      </c>
      <c r="Y125" s="524"/>
      <c r="Z125" s="168">
        <f>Y125/Y12</f>
        <v>0</v>
      </c>
      <c r="AA125" s="275">
        <f t="shared" si="76"/>
        <v>0</v>
      </c>
      <c r="AB125" s="203">
        <f>AA125/AA12</f>
        <v>0</v>
      </c>
      <c r="AC125" s="194">
        <f t="shared" si="66"/>
        <v>0</v>
      </c>
      <c r="AD125" s="203">
        <f>AC125/AC12</f>
        <v>0</v>
      </c>
      <c r="AE125" s="159"/>
      <c r="AF125" s="227"/>
      <c r="AG125" s="75"/>
      <c r="AH125" s="194">
        <v>0</v>
      </c>
      <c r="AI125" s="244">
        <f>AH125/AH12</f>
        <v>0</v>
      </c>
      <c r="AJ125" s="282">
        <f t="shared" si="77"/>
        <v>0</v>
      </c>
      <c r="AK125" s="53">
        <f t="shared" si="27"/>
        <v>0</v>
      </c>
      <c r="AL125" s="53">
        <f t="shared" si="74"/>
        <v>0</v>
      </c>
      <c r="AM125" s="53">
        <f t="shared" si="75"/>
        <v>0</v>
      </c>
      <c r="AN125" s="53"/>
      <c r="AQ125" s="53">
        <f t="shared" si="64"/>
        <v>0</v>
      </c>
    </row>
    <row r="126" spans="1:43">
      <c r="A126" s="2">
        <v>6413</v>
      </c>
      <c r="B126" s="2" t="s">
        <v>42</v>
      </c>
      <c r="C126" s="301">
        <f>C16*1.2%</f>
        <v>1406.75568</v>
      </c>
      <c r="D126" s="521">
        <f>C126/C12</f>
        <v>1.2E-2</v>
      </c>
      <c r="E126" s="301">
        <f>E16*1.2%</f>
        <v>1094.45796</v>
      </c>
      <c r="F126" s="521">
        <f>E126/E12</f>
        <v>1.1999999999999999E-2</v>
      </c>
      <c r="G126" s="301">
        <f>G16*1.2%</f>
        <v>1815.462457238076</v>
      </c>
      <c r="H126" s="521">
        <f>G126/G12</f>
        <v>1.2E-2</v>
      </c>
      <c r="I126" s="301">
        <f>I16*1.2%</f>
        <v>1603.0429400616365</v>
      </c>
      <c r="J126" s="521">
        <f>I126/I12</f>
        <v>1.2E-2</v>
      </c>
      <c r="K126" s="301">
        <f>K16*1.2%</f>
        <v>1466.1460720738321</v>
      </c>
      <c r="L126" s="521">
        <f>K126/K12</f>
        <v>1.2E-2</v>
      </c>
      <c r="M126" s="301">
        <f>M16*1.2%</f>
        <v>2078.9748310843561</v>
      </c>
      <c r="N126" s="521">
        <f>M126/M12</f>
        <v>1.2E-2</v>
      </c>
      <c r="O126" s="301">
        <f>O16*1.2%</f>
        <v>1316.220838650288</v>
      </c>
      <c r="P126" s="521">
        <f>O126/O12</f>
        <v>1.1999999999999999E-2</v>
      </c>
      <c r="Q126" s="301">
        <f>Q16*1.2%</f>
        <v>1634.4027992836679</v>
      </c>
      <c r="R126" s="521">
        <f>Q126/Q12</f>
        <v>1.2E-2</v>
      </c>
      <c r="S126" s="301">
        <f>S16*1.2%</f>
        <v>1646.4635082794161</v>
      </c>
      <c r="T126" s="521">
        <f>S126/S12</f>
        <v>1.2E-2</v>
      </c>
      <c r="U126" s="301">
        <f>U16*1.2%</f>
        <v>1305.9856049653079</v>
      </c>
      <c r="V126" s="521">
        <f>U126/U12</f>
        <v>1.2E-2</v>
      </c>
      <c r="W126" s="301">
        <f>W16*1.2%</f>
        <v>1328.7639911857079</v>
      </c>
      <c r="X126" s="521">
        <f>W126/W12</f>
        <v>1.2E-2</v>
      </c>
      <c r="Y126" s="301">
        <f>Y16*1.2%</f>
        <v>2007.315238014744</v>
      </c>
      <c r="Z126" s="168">
        <f>Y126/Y12</f>
        <v>1.2E-2</v>
      </c>
      <c r="AA126" s="275">
        <f t="shared" si="76"/>
        <v>18703.991920837034</v>
      </c>
      <c r="AB126" s="203">
        <f>AA126/AA12</f>
        <v>1.2000000000000002E-2</v>
      </c>
      <c r="AC126" s="194">
        <f t="shared" si="66"/>
        <v>1558.6659934030861</v>
      </c>
      <c r="AD126" s="203">
        <f>AC126/AC12</f>
        <v>1.2000000000000002E-2</v>
      </c>
      <c r="AE126" s="159"/>
      <c r="AF126" s="238"/>
      <c r="AG126" s="160"/>
      <c r="AH126" s="194">
        <v>12000</v>
      </c>
      <c r="AI126" s="244">
        <f>AH126/AH12</f>
        <v>1.490257164364747E-2</v>
      </c>
      <c r="AJ126" s="282">
        <f t="shared" si="77"/>
        <v>32262.657914240121</v>
      </c>
      <c r="AK126" s="53">
        <f t="shared" si="27"/>
        <v>0</v>
      </c>
      <c r="AL126" s="53">
        <f t="shared" si="74"/>
        <v>18703.991920837034</v>
      </c>
      <c r="AM126" s="53">
        <f t="shared" si="75"/>
        <v>152306.11583986814</v>
      </c>
      <c r="AN126" s="410">
        <v>1.0999999999999999E-2</v>
      </c>
      <c r="AQ126" s="53">
        <f t="shared" si="64"/>
        <v>15363.386313266479</v>
      </c>
    </row>
    <row r="127" spans="1:43">
      <c r="A127" s="2">
        <v>6414</v>
      </c>
      <c r="B127" s="2" t="s">
        <v>44</v>
      </c>
      <c r="C127" s="509">
        <v>50</v>
      </c>
      <c r="D127" s="521">
        <f>C127/C12</f>
        <v>4.2651329476060834E-4</v>
      </c>
      <c r="E127" s="509">
        <v>50</v>
      </c>
      <c r="F127" s="521">
        <f>E127/E12</f>
        <v>5.4821658019646544E-4</v>
      </c>
      <c r="G127" s="509">
        <v>50</v>
      </c>
      <c r="H127" s="521">
        <f>G127/G12</f>
        <v>3.3049430331531072E-4</v>
      </c>
      <c r="I127" s="509">
        <v>50</v>
      </c>
      <c r="J127" s="521">
        <f>I127/I12</f>
        <v>3.7428816471811428E-4</v>
      </c>
      <c r="K127" s="509">
        <v>50</v>
      </c>
      <c r="L127" s="521">
        <f>K127/K12</f>
        <v>4.0923616782010877E-4</v>
      </c>
      <c r="M127" s="509">
        <v>50</v>
      </c>
      <c r="N127" s="521">
        <f>M127/M12</f>
        <v>2.8860378251286995E-4</v>
      </c>
      <c r="O127" s="509">
        <v>50</v>
      </c>
      <c r="P127" s="521">
        <f>O127/O12</f>
        <v>4.5585055515096306E-4</v>
      </c>
      <c r="Q127" s="509">
        <v>50</v>
      </c>
      <c r="R127" s="521">
        <f>Q127/Q12</f>
        <v>3.6710656654710222E-4</v>
      </c>
      <c r="S127" s="509">
        <v>50</v>
      </c>
      <c r="T127" s="521">
        <f>S127/S12</f>
        <v>3.6441742983238709E-4</v>
      </c>
      <c r="U127" s="509">
        <v>50</v>
      </c>
      <c r="V127" s="521">
        <f>U127/U12</f>
        <v>4.5942313431237127E-4</v>
      </c>
      <c r="W127" s="509">
        <v>50</v>
      </c>
      <c r="X127" s="521">
        <f>W127/W12</f>
        <v>4.5154745611716688E-4</v>
      </c>
      <c r="Y127" s="509">
        <v>50</v>
      </c>
      <c r="Z127" s="521">
        <f>Y127/Y12</f>
        <v>2.9890671312464423E-4</v>
      </c>
      <c r="AA127" s="275">
        <f t="shared" si="76"/>
        <v>600</v>
      </c>
      <c r="AB127" s="521">
        <f>AA127/AA12</f>
        <v>3.8494456319663491E-4</v>
      </c>
      <c r="AC127" s="194">
        <f t="shared" si="66"/>
        <v>50</v>
      </c>
      <c r="AD127" s="203">
        <f>AC127/AC12</f>
        <v>3.8494456319663496E-4</v>
      </c>
      <c r="AE127" s="159"/>
      <c r="AF127" s="227"/>
      <c r="AG127" s="75"/>
      <c r="AH127" s="194">
        <v>15</v>
      </c>
      <c r="AI127" s="244">
        <f>AH127/AH12</f>
        <v>1.8628214554559339E-5</v>
      </c>
      <c r="AJ127" s="282">
        <f t="shared" si="77"/>
        <v>665</v>
      </c>
      <c r="AK127" s="53">
        <f t="shared" si="27"/>
        <v>0</v>
      </c>
      <c r="AL127" s="53">
        <f t="shared" si="74"/>
        <v>600</v>
      </c>
      <c r="AM127" s="53">
        <f t="shared" si="75"/>
        <v>4700</v>
      </c>
      <c r="AN127" s="53"/>
      <c r="AQ127" s="53">
        <f t="shared" si="64"/>
        <v>470</v>
      </c>
    </row>
    <row r="128" spans="1:43">
      <c r="A128" s="2">
        <v>6415</v>
      </c>
      <c r="B128" s="108" t="s">
        <v>45</v>
      </c>
      <c r="C128" s="524">
        <v>0</v>
      </c>
      <c r="D128" s="521">
        <f>C128/C12</f>
        <v>0</v>
      </c>
      <c r="E128" s="524">
        <v>0</v>
      </c>
      <c r="F128" s="521">
        <f>E128/E12</f>
        <v>0</v>
      </c>
      <c r="G128" s="524">
        <v>0</v>
      </c>
      <c r="H128" s="521">
        <f>G128/G12</f>
        <v>0</v>
      </c>
      <c r="I128" s="524">
        <v>0</v>
      </c>
      <c r="J128" s="521">
        <f>I128/I12</f>
        <v>0</v>
      </c>
      <c r="K128" s="524">
        <v>0</v>
      </c>
      <c r="L128" s="521">
        <f>K128/K12</f>
        <v>0</v>
      </c>
      <c r="M128" s="524">
        <v>0</v>
      </c>
      <c r="N128" s="521">
        <f>M128/M12</f>
        <v>0</v>
      </c>
      <c r="O128" s="524">
        <v>0</v>
      </c>
      <c r="P128" s="521">
        <f>O128/O12</f>
        <v>0</v>
      </c>
      <c r="Q128" s="524">
        <v>0</v>
      </c>
      <c r="R128" s="521">
        <f>Q128/Q12</f>
        <v>0</v>
      </c>
      <c r="S128" s="524">
        <v>0</v>
      </c>
      <c r="T128" s="521">
        <f>S128/S12</f>
        <v>0</v>
      </c>
      <c r="U128" s="524">
        <v>0</v>
      </c>
      <c r="V128" s="521">
        <f>U128/U12</f>
        <v>0</v>
      </c>
      <c r="W128" s="524">
        <v>0</v>
      </c>
      <c r="X128" s="521">
        <f>W128/W12</f>
        <v>0</v>
      </c>
      <c r="Y128" s="524">
        <v>0</v>
      </c>
      <c r="Z128" s="168">
        <f>Y128/Y12</f>
        <v>0</v>
      </c>
      <c r="AA128" s="275">
        <f t="shared" si="76"/>
        <v>0</v>
      </c>
      <c r="AB128" s="203">
        <f>AA128/AA12</f>
        <v>0</v>
      </c>
      <c r="AC128" s="194">
        <f t="shared" si="66"/>
        <v>0</v>
      </c>
      <c r="AD128" s="203">
        <f>AC128/AC12</f>
        <v>0</v>
      </c>
      <c r="AE128" s="159"/>
      <c r="AF128" s="227"/>
      <c r="AG128" s="159"/>
      <c r="AH128" s="194">
        <v>1160</v>
      </c>
      <c r="AI128" s="244">
        <f>AH128/AH12</f>
        <v>1.4405819255525888E-3</v>
      </c>
      <c r="AJ128" s="282">
        <f t="shared" si="77"/>
        <v>1160</v>
      </c>
      <c r="AK128" s="53">
        <f t="shared" si="27"/>
        <v>0</v>
      </c>
      <c r="AL128" s="53">
        <f t="shared" si="74"/>
        <v>0</v>
      </c>
      <c r="AM128" s="53">
        <f t="shared" si="75"/>
        <v>0</v>
      </c>
      <c r="AN128" s="53">
        <v>43</v>
      </c>
      <c r="AQ128" s="53">
        <f t="shared" si="64"/>
        <v>0</v>
      </c>
    </row>
    <row r="129" spans="1:44" ht="15.75" thickBot="1">
      <c r="A129" s="4">
        <v>6499</v>
      </c>
      <c r="B129" s="109" t="s">
        <v>102</v>
      </c>
      <c r="C129" s="27">
        <f>SUM(C116:C128)</f>
        <v>1581.75568</v>
      </c>
      <c r="D129" s="68">
        <f>C129/C12</f>
        <v>1.3492796531662129E-2</v>
      </c>
      <c r="E129" s="288">
        <f>SUM(E116:E128)</f>
        <v>1269.45796</v>
      </c>
      <c r="F129" s="68">
        <f>E129/E12</f>
        <v>1.3918758030687628E-2</v>
      </c>
      <c r="G129" s="82">
        <f>SUM(G116:G128)</f>
        <v>1990.462457238076</v>
      </c>
      <c r="H129" s="68">
        <f>G129/G12</f>
        <v>1.3156730061603589E-2</v>
      </c>
      <c r="I129" s="20">
        <f>SUM(I116:I128)</f>
        <v>1778.0429400616365</v>
      </c>
      <c r="J129" s="68">
        <f>I129/I12</f>
        <v>1.3310008576513399E-2</v>
      </c>
      <c r="K129" s="55">
        <f>SUM(K116:K128)</f>
        <v>1641.1460720738321</v>
      </c>
      <c r="L129" s="68">
        <f>K129/K12</f>
        <v>1.3432326587370381E-2</v>
      </c>
      <c r="M129" s="434">
        <f>SUM(M116:M128)</f>
        <v>2253.9748310843561</v>
      </c>
      <c r="N129" s="68">
        <f>M129/M12</f>
        <v>1.3010113238795046E-2</v>
      </c>
      <c r="O129" s="20">
        <f>SUM(O116:O128)</f>
        <v>1491.220838650288</v>
      </c>
      <c r="P129" s="68">
        <f>O129/O12</f>
        <v>1.3595476943028369E-2</v>
      </c>
      <c r="Q129" s="20">
        <f>SUM(Q116:Q128)</f>
        <v>1809.4027992836679</v>
      </c>
      <c r="R129" s="68">
        <f>Q129/Q12</f>
        <v>1.3284872982914859E-2</v>
      </c>
      <c r="S129" s="20">
        <f>SUM(S116:S128)</f>
        <v>1821.4635082794161</v>
      </c>
      <c r="T129" s="68">
        <f>S129/S12</f>
        <v>1.3275461004413356E-2</v>
      </c>
      <c r="U129" s="55">
        <f>SUM(U116:U128)</f>
        <v>1480.9856049653079</v>
      </c>
      <c r="V129" s="68">
        <f>U129/U12</f>
        <v>1.36079809700933E-2</v>
      </c>
      <c r="W129" s="34">
        <f>SUM(W116:W128)</f>
        <v>1503.7639911857079</v>
      </c>
      <c r="X129" s="68">
        <f>W129/W12</f>
        <v>1.3580416096410084E-2</v>
      </c>
      <c r="Y129" s="55">
        <f>SUM(Y116:Y128)</f>
        <v>2182.315238014744</v>
      </c>
      <c r="Z129" s="212">
        <f>Y129/Y12</f>
        <v>1.3046173495936255E-2</v>
      </c>
      <c r="AA129" s="200">
        <f>SUM(AA116:AA128)</f>
        <v>20803.991920837034</v>
      </c>
      <c r="AB129" s="234">
        <f>AA129/AA12</f>
        <v>1.3347305971188224E-2</v>
      </c>
      <c r="AC129" s="199">
        <f t="shared" si="66"/>
        <v>1733.6659934030861</v>
      </c>
      <c r="AD129" s="234">
        <f>AC129/AC12</f>
        <v>1.3347305971188224E-2</v>
      </c>
      <c r="AE129" s="75"/>
      <c r="AF129" s="158"/>
      <c r="AG129" s="75"/>
      <c r="AH129" s="199">
        <f>SUM(AH116:AH128)</f>
        <v>14275.269</v>
      </c>
      <c r="AI129" s="248">
        <f>AH129/AH12</f>
        <v>1.7728184917069983E-2</v>
      </c>
      <c r="AJ129" s="286">
        <f t="shared" si="77"/>
        <v>36812.926914240117</v>
      </c>
      <c r="AK129" s="53">
        <f t="shared" si="27"/>
        <v>0</v>
      </c>
      <c r="AL129" s="53">
        <f t="shared" si="74"/>
        <v>20803.99192083703</v>
      </c>
      <c r="AM129" s="53">
        <f t="shared" si="75"/>
        <v>168756.11583986814</v>
      </c>
      <c r="AN129" s="53"/>
      <c r="AQ129" s="53">
        <f t="shared" si="64"/>
        <v>17008.386313266481</v>
      </c>
    </row>
    <row r="130" spans="1:44" ht="15.75" thickTop="1">
      <c r="A130" s="105"/>
      <c r="B130" s="110"/>
      <c r="C130" s="130"/>
      <c r="D130" s="70"/>
      <c r="E130" s="61"/>
      <c r="F130" s="70"/>
      <c r="G130" s="80"/>
      <c r="H130" s="70"/>
      <c r="J130" s="70"/>
      <c r="K130" s="61"/>
      <c r="L130" s="70"/>
      <c r="N130" s="70"/>
      <c r="P130" s="70"/>
      <c r="R130" s="70"/>
      <c r="T130" s="70"/>
      <c r="U130" s="61"/>
      <c r="V130" s="70"/>
      <c r="W130" s="42"/>
      <c r="X130" s="70"/>
      <c r="Y130" s="61"/>
      <c r="AA130" s="193"/>
      <c r="AB130" s="202"/>
      <c r="AC130" s="194">
        <f t="shared" si="66"/>
        <v>0</v>
      </c>
      <c r="AD130" s="202"/>
      <c r="AE130" s="75"/>
      <c r="AF130" s="158"/>
      <c r="AG130" s="75"/>
      <c r="AH130" s="194"/>
      <c r="AI130" s="243"/>
      <c r="AJ130" s="282">
        <f t="shared" si="77"/>
        <v>0</v>
      </c>
      <c r="AK130" s="53">
        <f t="shared" si="27"/>
        <v>0</v>
      </c>
      <c r="AL130" s="53">
        <f t="shared" si="74"/>
        <v>0</v>
      </c>
      <c r="AM130" s="53">
        <f t="shared" si="75"/>
        <v>0</v>
      </c>
      <c r="AN130" s="53"/>
      <c r="AQ130" s="53">
        <f t="shared" si="64"/>
        <v>0</v>
      </c>
    </row>
    <row r="131" spans="1:44" ht="15.75" thickBot="1">
      <c r="A131" s="4"/>
      <c r="B131" s="109" t="s">
        <v>113</v>
      </c>
      <c r="C131" s="125">
        <f>C37-C41-C76-C93-C115-C129</f>
        <v>28232.714650834259</v>
      </c>
      <c r="D131" s="122">
        <f>C131/C12</f>
        <v>0.24083256291526836</v>
      </c>
      <c r="E131" s="121">
        <f>E37-E41-E76-E93-E115-E129</f>
        <v>22550.586686490122</v>
      </c>
      <c r="F131" s="122">
        <f>E131/E12</f>
        <v>0.24725211029383115</v>
      </c>
      <c r="G131" s="121">
        <f>G37-G41-G76-G93-G115-G129</f>
        <v>44821.14095178806</v>
      </c>
      <c r="H131" s="122">
        <f>G131/G12</f>
        <v>0.29626263505317074</v>
      </c>
      <c r="I131" s="125">
        <f>I37-I41-I76-I93-I115-I129</f>
        <v>41909.716567687836</v>
      </c>
      <c r="J131" s="122">
        <f>I131/I12</f>
        <v>0.31372621795952454</v>
      </c>
      <c r="K131" s="121">
        <f>K37-K41-K76-K93-K115-K129</f>
        <v>36086.23782043875</v>
      </c>
      <c r="L131" s="122">
        <f>K131/K12</f>
        <v>0.29535587353362858</v>
      </c>
      <c r="M131" s="125">
        <f>M37-M41-M76-M93-M115-M129</f>
        <v>54131.10548251251</v>
      </c>
      <c r="N131" s="122">
        <f>M131/M12</f>
        <v>0.31244883587712524</v>
      </c>
      <c r="O131" s="125">
        <f>O37-O41-O76-O93-O115-O129</f>
        <v>31679.395369352336</v>
      </c>
      <c r="P131" s="122">
        <f>O131/O12</f>
        <v>0.28882139931932221</v>
      </c>
      <c r="Q131" s="125">
        <f>Q37-Q41-Q76-Q93-Q115-Q129</f>
        <v>45476.332433792224</v>
      </c>
      <c r="R131" s="122">
        <f>Q131/Q12</f>
        <v>0.33389320517848176</v>
      </c>
      <c r="S131" s="125">
        <f>S37-S41-S76-S93-S115-S129</f>
        <v>51195.588449460374</v>
      </c>
      <c r="T131" s="122">
        <f>S131/S12</f>
        <v>0.37313129523017985</v>
      </c>
      <c r="U131" s="121">
        <f>U37-U41-U76-U93-U115-U129</f>
        <v>25268.012738367972</v>
      </c>
      <c r="V131" s="122">
        <f>U131/U12</f>
        <v>0.23217419220211874</v>
      </c>
      <c r="W131" s="121">
        <f>W37-W41-W76-W93-W115-W129</f>
        <v>30772.234996788731</v>
      </c>
      <c r="X131" s="122">
        <f>W131/W12</f>
        <v>0.27790248863679212</v>
      </c>
      <c r="Y131" s="121">
        <f>Y37-Y41-Y76-Y93-Y115-Y129</f>
        <v>47645.87217931568</v>
      </c>
      <c r="Z131" s="122">
        <f>Y131/Y12</f>
        <v>0.28483342094152359</v>
      </c>
      <c r="AA131" s="278">
        <f>AA37-AA41-AA76-AA93-AA115-AA129</f>
        <v>459768.93832682859</v>
      </c>
      <c r="AB131" s="239">
        <f>AA131/AA12</f>
        <v>0.29497592189266936</v>
      </c>
      <c r="AC131" s="240">
        <f t="shared" si="66"/>
        <v>38314.07819390238</v>
      </c>
      <c r="AD131" s="239">
        <f>AC131/AC12</f>
        <v>0.29497592189266936</v>
      </c>
      <c r="AE131" s="75"/>
      <c r="AF131" s="158"/>
      <c r="AG131" s="75"/>
      <c r="AH131" s="240">
        <f>AH37-AH76-AH93-AH115-AH129</f>
        <v>60566.131689298811</v>
      </c>
      <c r="AI131" s="250">
        <f>AH131/AH12</f>
        <v>7.5215926389863574E-2</v>
      </c>
      <c r="AJ131" s="286">
        <f t="shared" si="77"/>
        <v>558649.14821002982</v>
      </c>
      <c r="AK131" s="53">
        <f t="shared" si="27"/>
        <v>0</v>
      </c>
      <c r="AL131" s="53">
        <f t="shared" si="74"/>
        <v>459768.93832682882</v>
      </c>
      <c r="AM131" s="53">
        <f t="shared" si="75"/>
        <v>3844464.9877013424</v>
      </c>
      <c r="AN131" s="53"/>
      <c r="AQ131" s="53">
        <f t="shared" si="64"/>
        <v>427477.52487764694</v>
      </c>
    </row>
    <row r="132" spans="1:44" ht="15.75" thickTop="1">
      <c r="A132" s="105"/>
      <c r="B132" s="110"/>
      <c r="C132" s="130"/>
      <c r="D132" s="70"/>
      <c r="E132" s="61"/>
      <c r="F132" s="70"/>
      <c r="G132" s="80"/>
      <c r="H132" s="70"/>
      <c r="J132" s="70"/>
      <c r="K132" s="61"/>
      <c r="L132" s="70"/>
      <c r="N132" s="70"/>
      <c r="P132" s="70"/>
      <c r="R132" s="70"/>
      <c r="T132" s="70"/>
      <c r="U132" s="61"/>
      <c r="V132" s="70"/>
      <c r="W132" s="42"/>
      <c r="X132" s="70"/>
      <c r="Y132" s="61"/>
      <c r="AA132" s="193"/>
      <c r="AB132" s="202"/>
      <c r="AC132" s="194">
        <f t="shared" si="66"/>
        <v>0</v>
      </c>
      <c r="AD132" s="202"/>
      <c r="AE132" s="75"/>
      <c r="AF132" s="158"/>
      <c r="AG132" s="75"/>
      <c r="AH132" s="194"/>
      <c r="AI132" s="243"/>
      <c r="AJ132" s="282">
        <f t="shared" si="77"/>
        <v>0</v>
      </c>
      <c r="AK132" s="53">
        <f t="shared" si="27"/>
        <v>0</v>
      </c>
      <c r="AL132" s="53">
        <f t="shared" si="74"/>
        <v>0</v>
      </c>
      <c r="AM132" s="53">
        <f t="shared" si="75"/>
        <v>0</v>
      </c>
      <c r="AN132" s="53"/>
      <c r="AQ132" s="53">
        <f t="shared" si="64"/>
        <v>0</v>
      </c>
    </row>
    <row r="133" spans="1:44" ht="15.75" thickBot="1">
      <c r="A133" s="4"/>
      <c r="B133" s="263" t="s">
        <v>123</v>
      </c>
      <c r="C133" s="126"/>
      <c r="D133" s="264"/>
      <c r="E133" s="126"/>
      <c r="F133" s="264"/>
      <c r="G133" s="126"/>
      <c r="H133" s="264"/>
      <c r="I133" s="126"/>
      <c r="J133" s="264"/>
      <c r="K133" s="126"/>
      <c r="L133" s="264"/>
      <c r="M133" s="126"/>
      <c r="N133" s="264"/>
      <c r="O133" s="126"/>
      <c r="P133" s="264"/>
      <c r="Q133" s="126"/>
      <c r="R133" s="264"/>
      <c r="S133" s="126"/>
      <c r="T133" s="264"/>
      <c r="U133" s="126"/>
      <c r="V133" s="264"/>
      <c r="W133" s="126"/>
      <c r="X133" s="264"/>
      <c r="Y133" s="126"/>
      <c r="Z133" s="265"/>
      <c r="AA133" s="276">
        <f>C133+E133+G133+I133+K133+M133+O133+Q133+S133+U133+W133+Y133</f>
        <v>0</v>
      </c>
      <c r="AB133" s="266"/>
      <c r="AC133" s="267">
        <f t="shared" si="66"/>
        <v>0</v>
      </c>
      <c r="AD133" s="266"/>
      <c r="AE133" s="262"/>
      <c r="AF133" s="261"/>
      <c r="AG133" s="262"/>
      <c r="AH133" s="267"/>
      <c r="AI133" s="268"/>
      <c r="AJ133" s="282">
        <f t="shared" si="77"/>
        <v>0</v>
      </c>
      <c r="AK133" s="53">
        <f t="shared" si="27"/>
        <v>0</v>
      </c>
      <c r="AL133" s="53">
        <f t="shared" si="74"/>
        <v>0</v>
      </c>
      <c r="AM133" s="53">
        <f t="shared" si="75"/>
        <v>0</v>
      </c>
      <c r="AN133" s="53"/>
      <c r="AQ133" s="53">
        <f t="shared" si="64"/>
        <v>0</v>
      </c>
    </row>
    <row r="134" spans="1:44" ht="15.75" thickTop="1">
      <c r="A134" s="105"/>
      <c r="B134" s="105"/>
      <c r="C134" s="130"/>
      <c r="D134" s="70"/>
      <c r="E134" s="61"/>
      <c r="F134" s="70"/>
      <c r="G134" s="80"/>
      <c r="H134" s="70"/>
      <c r="J134" s="70"/>
      <c r="K134" s="61"/>
      <c r="L134" s="70"/>
      <c r="N134" s="70"/>
      <c r="P134" s="70"/>
      <c r="R134" s="70"/>
      <c r="T134" s="70"/>
      <c r="U134" s="61"/>
      <c r="V134" s="70"/>
      <c r="W134" s="42"/>
      <c r="X134" s="70"/>
      <c r="Y134" s="61"/>
      <c r="AA134" s="193"/>
      <c r="AB134" s="202"/>
      <c r="AC134" s="194">
        <f t="shared" si="66"/>
        <v>0</v>
      </c>
      <c r="AD134" s="202"/>
      <c r="AE134" s="75"/>
      <c r="AF134" s="158"/>
      <c r="AG134" s="75"/>
      <c r="AH134" s="194"/>
      <c r="AI134" s="243"/>
      <c r="AJ134" s="282">
        <f t="shared" si="77"/>
        <v>0</v>
      </c>
      <c r="AK134" s="53">
        <f t="shared" si="27"/>
        <v>0</v>
      </c>
      <c r="AL134" s="53">
        <f t="shared" si="74"/>
        <v>0</v>
      </c>
      <c r="AM134" s="53">
        <f t="shared" si="75"/>
        <v>0</v>
      </c>
      <c r="AN134" s="53"/>
      <c r="AQ134" s="53">
        <f t="shared" si="64"/>
        <v>0</v>
      </c>
    </row>
    <row r="135" spans="1:44" ht="15.75" thickBot="1">
      <c r="A135" s="4"/>
      <c r="B135" s="4" t="s">
        <v>120</v>
      </c>
      <c r="C135" s="27">
        <f>C131-C133</f>
        <v>28232.714650834259</v>
      </c>
      <c r="D135" s="68">
        <f>C135/C12</f>
        <v>0.24083256291526836</v>
      </c>
      <c r="E135" s="34">
        <f>E131-E133</f>
        <v>22550.586686490122</v>
      </c>
      <c r="F135" s="68">
        <f>E135/E12</f>
        <v>0.24725211029383115</v>
      </c>
      <c r="G135" s="34">
        <f>G131-G133</f>
        <v>44821.14095178806</v>
      </c>
      <c r="H135" s="68">
        <f>G135/G12</f>
        <v>0.29626263505317074</v>
      </c>
      <c r="I135" s="20">
        <f>I131-I133</f>
        <v>41909.716567687836</v>
      </c>
      <c r="J135" s="68">
        <f>I135/I12</f>
        <v>0.31372621795952454</v>
      </c>
      <c r="K135" s="34">
        <f>K131-K133</f>
        <v>36086.23782043875</v>
      </c>
      <c r="L135" s="68">
        <f>K135/K12</f>
        <v>0.29535587353362858</v>
      </c>
      <c r="M135" s="20">
        <f>M131-M133</f>
        <v>54131.10548251251</v>
      </c>
      <c r="N135" s="68">
        <f>M135/M12</f>
        <v>0.31244883587712524</v>
      </c>
      <c r="O135" s="20">
        <f>O131-O133</f>
        <v>31679.395369352336</v>
      </c>
      <c r="P135" s="68">
        <f>O135/O12</f>
        <v>0.28882139931932221</v>
      </c>
      <c r="Q135" s="20">
        <f>Q131-Q133</f>
        <v>45476.332433792224</v>
      </c>
      <c r="R135" s="68">
        <f>Q135/Q12</f>
        <v>0.33389320517848176</v>
      </c>
      <c r="S135" s="20">
        <f>S131-S133</f>
        <v>51195.588449460374</v>
      </c>
      <c r="T135" s="68">
        <f>S135/S12</f>
        <v>0.37313129523017985</v>
      </c>
      <c r="U135" s="34">
        <f>U131-U133</f>
        <v>25268.012738367972</v>
      </c>
      <c r="V135" s="68">
        <f>U135/U12</f>
        <v>0.23217419220211874</v>
      </c>
      <c r="W135" s="34">
        <f>W131-W133</f>
        <v>30772.234996788731</v>
      </c>
      <c r="X135" s="68">
        <f>W135/W12</f>
        <v>0.27790248863679212</v>
      </c>
      <c r="Y135" s="34">
        <f>Y131-Y133</f>
        <v>47645.87217931568</v>
      </c>
      <c r="Z135" s="212">
        <f>Y135/Y12</f>
        <v>0.28483342094152359</v>
      </c>
      <c r="AA135" s="200">
        <f>AA131-AA133</f>
        <v>459768.93832682859</v>
      </c>
      <c r="AB135" s="234">
        <f>AA135/AA12</f>
        <v>0.29497592189266936</v>
      </c>
      <c r="AC135" s="206">
        <f t="shared" si="66"/>
        <v>38314.07819390238</v>
      </c>
      <c r="AD135" s="234">
        <f>AC135/AC12</f>
        <v>0.29497592189266936</v>
      </c>
      <c r="AE135" s="75"/>
      <c r="AF135" s="158"/>
      <c r="AG135" s="75"/>
      <c r="AH135" s="206">
        <f>AH131</f>
        <v>60566.131689298811</v>
      </c>
      <c r="AI135" s="248">
        <f>AH135/AH12</f>
        <v>7.5215926389863574E-2</v>
      </c>
      <c r="AJ135" s="286">
        <f t="shared" si="77"/>
        <v>558649.14821002982</v>
      </c>
      <c r="AK135" s="53">
        <f t="shared" si="27"/>
        <v>0</v>
      </c>
      <c r="AL135" s="53">
        <f t="shared" si="74"/>
        <v>459768.93832682882</v>
      </c>
      <c r="AM135" s="53">
        <f t="shared" si="75"/>
        <v>3844464.9877013424</v>
      </c>
      <c r="AN135" s="53"/>
      <c r="AQ135" s="53">
        <f t="shared" si="64"/>
        <v>427477.52487764694</v>
      </c>
    </row>
    <row r="136" spans="1:44" ht="15.75" thickTop="1">
      <c r="A136" s="16">
        <v>6501</v>
      </c>
      <c r="B136" s="111"/>
      <c r="C136" s="130"/>
      <c r="D136" s="49">
        <f>C136/C12</f>
        <v>0</v>
      </c>
      <c r="E136" s="61"/>
      <c r="F136" s="49">
        <f>E136/E12</f>
        <v>0</v>
      </c>
      <c r="G136" s="80"/>
      <c r="H136" s="49">
        <f>G136/G12</f>
        <v>0</v>
      </c>
      <c r="J136" s="49">
        <f>I136/I12</f>
        <v>0</v>
      </c>
      <c r="K136" s="61"/>
      <c r="L136" s="49">
        <f>K136/K12</f>
        <v>0</v>
      </c>
      <c r="N136" s="49">
        <f>M136/M12</f>
        <v>0</v>
      </c>
      <c r="P136" s="49">
        <f>O136/O12</f>
        <v>0</v>
      </c>
      <c r="R136" s="49">
        <f>Q136/Q12</f>
        <v>0</v>
      </c>
      <c r="T136" s="49">
        <f>S136/S12</f>
        <v>0</v>
      </c>
      <c r="U136" s="61"/>
      <c r="V136" s="49">
        <f>U136/U12</f>
        <v>0</v>
      </c>
      <c r="W136" s="42"/>
      <c r="X136" s="49">
        <f>W136/W12</f>
        <v>0</v>
      </c>
      <c r="Y136" s="61"/>
      <c r="Z136" s="168">
        <f>Y136/Y12</f>
        <v>0</v>
      </c>
      <c r="AA136" s="275">
        <f t="shared" ref="AA136:AA143" si="78">C136+E136+G136+I136+K136+M136+O136+Q136+S136+U136+W136+Y136</f>
        <v>0</v>
      </c>
      <c r="AB136" s="203">
        <f>AA136/AA12</f>
        <v>0</v>
      </c>
      <c r="AC136" s="194">
        <f t="shared" si="66"/>
        <v>0</v>
      </c>
      <c r="AD136" s="203">
        <f>AC136/AC12</f>
        <v>0</v>
      </c>
      <c r="AE136" s="75"/>
      <c r="AF136" s="158"/>
      <c r="AG136" s="75"/>
      <c r="AH136" s="194">
        <v>0</v>
      </c>
      <c r="AI136" s="244">
        <f>AH136/AH12</f>
        <v>0</v>
      </c>
      <c r="AJ136" s="282">
        <f t="shared" si="77"/>
        <v>0</v>
      </c>
      <c r="AK136" s="53">
        <f t="shared" si="27"/>
        <v>0</v>
      </c>
      <c r="AL136" s="53">
        <f t="shared" si="74"/>
        <v>0</v>
      </c>
      <c r="AM136" s="53">
        <f t="shared" si="75"/>
        <v>0</v>
      </c>
      <c r="AN136" s="53"/>
      <c r="AQ136" s="53">
        <f t="shared" si="64"/>
        <v>0</v>
      </c>
    </row>
    <row r="137" spans="1:44">
      <c r="A137" s="2">
        <v>6502</v>
      </c>
      <c r="B137" s="111" t="s">
        <v>116</v>
      </c>
      <c r="C137" s="540">
        <v>3853.2930000000001</v>
      </c>
      <c r="D137" s="49">
        <f>C137/C12</f>
        <v>3.2869613862159773E-2</v>
      </c>
      <c r="E137" s="540">
        <v>3853.2930000000001</v>
      </c>
      <c r="F137" s="49">
        <f>E137/E12</f>
        <v>4.2248782219099584E-2</v>
      </c>
      <c r="G137" s="540">
        <v>3853.2930000000001</v>
      </c>
      <c r="H137" s="49">
        <f>G137/G12</f>
        <v>2.5469827710095275E-2</v>
      </c>
      <c r="I137" s="540">
        <v>3853.2930000000001</v>
      </c>
      <c r="J137" s="49">
        <f>I137/I12</f>
        <v>2.8844839301823137E-2</v>
      </c>
      <c r="K137" s="540">
        <v>3853.2930000000001</v>
      </c>
      <c r="L137" s="49">
        <f>K137/K12</f>
        <v>3.1538137216161007E-2</v>
      </c>
      <c r="M137" s="540">
        <v>3853.2930000000001</v>
      </c>
      <c r="N137" s="49">
        <f>M137/M12</f>
        <v>2.2241498698607285E-2</v>
      </c>
      <c r="O137" s="540">
        <v>3853.2930000000001</v>
      </c>
      <c r="P137" s="49">
        <f>O137/O12</f>
        <v>3.51305150641864E-2</v>
      </c>
      <c r="Q137" s="540">
        <v>3853.2930000000001</v>
      </c>
      <c r="R137" s="49">
        <f>Q137/Q12</f>
        <v>2.8291383262599664E-2</v>
      </c>
      <c r="S137" s="540">
        <v>3853.2930000000001</v>
      </c>
      <c r="T137" s="49">
        <f>S137/S12</f>
        <v>2.8084142629022566E-2</v>
      </c>
      <c r="U137" s="540">
        <v>3853.2930000000001</v>
      </c>
      <c r="V137" s="49">
        <f>U137/U12</f>
        <v>3.54058389496784E-2</v>
      </c>
      <c r="W137" s="540">
        <v>3853.2930000000001</v>
      </c>
      <c r="X137" s="49">
        <f>W137/W12</f>
        <v>3.4798893036481732E-2</v>
      </c>
      <c r="Y137" s="540">
        <v>3853.2930000000001</v>
      </c>
      <c r="Z137" s="168">
        <f>Y137/Y12</f>
        <v>2.3035502906723994E-2</v>
      </c>
      <c r="AA137" s="275">
        <f t="shared" si="78"/>
        <v>46239.515999999996</v>
      </c>
      <c r="AB137" s="203">
        <f>AA137/AA12</f>
        <v>2.9666083815073019E-2</v>
      </c>
      <c r="AC137" s="201">
        <f t="shared" si="66"/>
        <v>3853.2929999999997</v>
      </c>
      <c r="AD137" s="203">
        <f>AC137/AC12</f>
        <v>2.9666083815073019E-2</v>
      </c>
      <c r="AE137" s="75"/>
      <c r="AF137" s="158"/>
      <c r="AG137" s="75"/>
      <c r="AH137" s="201">
        <v>58510.638297872341</v>
      </c>
      <c r="AI137" s="244">
        <f>AH137/AH12</f>
        <v>7.2663248262465507E-2</v>
      </c>
      <c r="AJ137" s="282">
        <f t="shared" si="77"/>
        <v>108603.44729787234</v>
      </c>
      <c r="AK137" s="53">
        <f t="shared" si="27"/>
        <v>0</v>
      </c>
      <c r="AL137" s="53">
        <f t="shared" si="74"/>
        <v>46239.515999999996</v>
      </c>
      <c r="AM137" s="53">
        <f t="shared" si="75"/>
        <v>362209.54199999996</v>
      </c>
      <c r="AN137" s="53"/>
      <c r="AQ137" s="53">
        <f t="shared" si="64"/>
        <v>36220.9542</v>
      </c>
    </row>
    <row r="138" spans="1:44">
      <c r="A138" s="2">
        <v>6503</v>
      </c>
      <c r="B138" s="111" t="s">
        <v>117</v>
      </c>
      <c r="C138" s="540">
        <v>131.27600000000001</v>
      </c>
      <c r="D138" s="49">
        <f>C138/C12</f>
        <v>1.1198191856598724E-3</v>
      </c>
      <c r="E138" s="540">
        <v>131.27600000000001</v>
      </c>
      <c r="F138" s="49">
        <f>E138/E12</f>
        <v>1.4393535956374241E-3</v>
      </c>
      <c r="G138" s="540">
        <v>131.27600000000001</v>
      </c>
      <c r="H138" s="49">
        <f>G138/G12</f>
        <v>8.6771940324041467E-4</v>
      </c>
      <c r="I138" s="540">
        <v>131.27600000000001</v>
      </c>
      <c r="J138" s="49">
        <f>I138/I12</f>
        <v>9.8270106223070355E-4</v>
      </c>
      <c r="K138" s="540">
        <v>131.27600000000001</v>
      </c>
      <c r="L138" s="49">
        <f>K138/K12</f>
        <v>1.0744577433350519E-3</v>
      </c>
      <c r="M138" s="540">
        <v>131.27600000000001</v>
      </c>
      <c r="N138" s="49">
        <f>M138/M12</f>
        <v>7.5773500306319038E-4</v>
      </c>
      <c r="O138" s="540">
        <v>131.27600000000001</v>
      </c>
      <c r="P138" s="49">
        <f>O138/O12</f>
        <v>1.1968447495599567E-3</v>
      </c>
      <c r="Q138" s="540">
        <v>131.27600000000001</v>
      </c>
      <c r="R138" s="49">
        <f>Q138/Q12</f>
        <v>9.6384563260074789E-4</v>
      </c>
      <c r="S138" s="540">
        <v>131.27600000000001</v>
      </c>
      <c r="T138" s="49">
        <f>S138/S12</f>
        <v>9.5678525037352902E-4</v>
      </c>
      <c r="U138" s="540">
        <v>131.27600000000001</v>
      </c>
      <c r="V138" s="49">
        <f>U138/U12</f>
        <v>1.206224627599817E-3</v>
      </c>
      <c r="W138" s="540">
        <v>131.27600000000001</v>
      </c>
      <c r="X138" s="49">
        <f>W138/W12</f>
        <v>1.1855468769847442E-3</v>
      </c>
      <c r="Y138" s="540">
        <v>131.27600000000001</v>
      </c>
      <c r="Z138" s="168">
        <f>Y138/Y12</f>
        <v>7.8478555344301589E-4</v>
      </c>
      <c r="AA138" s="275">
        <f t="shared" si="78"/>
        <v>1575.3120000000006</v>
      </c>
      <c r="AB138" s="203">
        <f>AA138/AA12</f>
        <v>1.0106796495640293E-3</v>
      </c>
      <c r="AC138" s="201">
        <f t="shared" si="66"/>
        <v>131.27600000000004</v>
      </c>
      <c r="AD138" s="203">
        <f>AC138/AC12</f>
        <v>1.0106796495640293E-3</v>
      </c>
      <c r="AE138" s="75"/>
      <c r="AF138" s="158"/>
      <c r="AG138" s="75"/>
      <c r="AH138" s="201">
        <v>5319.1489361702124</v>
      </c>
      <c r="AI138" s="244">
        <f>AH138/AH12</f>
        <v>6.605749842042318E-3</v>
      </c>
      <c r="AJ138" s="282">
        <f t="shared" si="77"/>
        <v>7025.7369361702131</v>
      </c>
      <c r="AK138" s="53">
        <f t="shared" si="27"/>
        <v>0</v>
      </c>
      <c r="AL138" s="53">
        <f t="shared" si="74"/>
        <v>1575.3120000000006</v>
      </c>
      <c r="AM138" s="53">
        <f t="shared" si="75"/>
        <v>12339.943999999998</v>
      </c>
      <c r="AN138" s="53"/>
      <c r="AQ138" s="53">
        <f t="shared" si="64"/>
        <v>1233.9944</v>
      </c>
      <c r="AR138" s="306">
        <f>AQ137+AQ138</f>
        <v>37454.948600000003</v>
      </c>
    </row>
    <row r="139" spans="1:44">
      <c r="A139" s="2">
        <v>6504</v>
      </c>
      <c r="B139" s="111" t="s">
        <v>118</v>
      </c>
      <c r="C139" s="25"/>
      <c r="D139" s="49">
        <f>C139/C12</f>
        <v>0</v>
      </c>
      <c r="E139" s="25"/>
      <c r="F139" s="49">
        <f>E139/E12</f>
        <v>0</v>
      </c>
      <c r="G139" s="25"/>
      <c r="H139" s="49">
        <f>G139/G12</f>
        <v>0</v>
      </c>
      <c r="I139" s="25"/>
      <c r="J139" s="49">
        <f>I139/I12</f>
        <v>0</v>
      </c>
      <c r="K139" s="25"/>
      <c r="L139" s="49">
        <f>K139/K12</f>
        <v>0</v>
      </c>
      <c r="M139" s="25"/>
      <c r="N139" s="49">
        <f>M139/M12</f>
        <v>0</v>
      </c>
      <c r="O139" s="25"/>
      <c r="P139" s="49">
        <f>O139/O12</f>
        <v>0</v>
      </c>
      <c r="Q139" s="25"/>
      <c r="R139" s="49">
        <f>Q139/Q12</f>
        <v>0</v>
      </c>
      <c r="S139" s="25"/>
      <c r="T139" s="49">
        <f>S139/S12</f>
        <v>0</v>
      </c>
      <c r="U139" s="25"/>
      <c r="V139" s="49">
        <f>U139/U12</f>
        <v>0</v>
      </c>
      <c r="W139" s="25"/>
      <c r="X139" s="49">
        <f>W139/W12</f>
        <v>0</v>
      </c>
      <c r="Y139" s="25"/>
      <c r="Z139" s="168">
        <f>Y139/Y12</f>
        <v>0</v>
      </c>
      <c r="AA139" s="275">
        <f t="shared" si="78"/>
        <v>0</v>
      </c>
      <c r="AB139" s="203">
        <f>AA139/AA12</f>
        <v>0</v>
      </c>
      <c r="AC139" s="76">
        <f t="shared" si="66"/>
        <v>0</v>
      </c>
      <c r="AD139" s="203">
        <f>AC139/AC12</f>
        <v>0</v>
      </c>
      <c r="AE139" s="75"/>
      <c r="AF139" s="158"/>
      <c r="AG139" s="75"/>
      <c r="AH139" s="76"/>
      <c r="AI139" s="244">
        <f>AH139/AH12</f>
        <v>0</v>
      </c>
      <c r="AJ139" s="282">
        <f t="shared" si="77"/>
        <v>0</v>
      </c>
      <c r="AK139" s="53">
        <f t="shared" si="27"/>
        <v>0</v>
      </c>
      <c r="AL139" s="53">
        <f t="shared" si="74"/>
        <v>0</v>
      </c>
      <c r="AM139" s="53">
        <f t="shared" si="75"/>
        <v>0</v>
      </c>
      <c r="AN139" s="53"/>
      <c r="AQ139" s="53">
        <f t="shared" si="64"/>
        <v>0</v>
      </c>
    </row>
    <row r="140" spans="1:44">
      <c r="A140" s="98">
        <v>6505</v>
      </c>
      <c r="B140" s="2" t="s">
        <v>119</v>
      </c>
      <c r="C140" s="25"/>
      <c r="D140" s="49">
        <f>C140/C12</f>
        <v>0</v>
      </c>
      <c r="E140" s="25"/>
      <c r="F140" s="49">
        <f>E140/E12</f>
        <v>0</v>
      </c>
      <c r="G140" s="25"/>
      <c r="H140" s="49">
        <f>G140/G12</f>
        <v>0</v>
      </c>
      <c r="I140" s="25"/>
      <c r="J140" s="49">
        <f>I140/I12</f>
        <v>0</v>
      </c>
      <c r="K140" s="25"/>
      <c r="L140" s="49">
        <f>K140/K12</f>
        <v>0</v>
      </c>
      <c r="M140" s="25"/>
      <c r="N140" s="49">
        <f>M140/M12</f>
        <v>0</v>
      </c>
      <c r="O140" s="25"/>
      <c r="P140" s="49">
        <f>O140/O12</f>
        <v>0</v>
      </c>
      <c r="Q140" s="25"/>
      <c r="R140" s="49">
        <f>Q140/Q12</f>
        <v>0</v>
      </c>
      <c r="S140" s="25"/>
      <c r="T140" s="49">
        <f>S140/S12</f>
        <v>0</v>
      </c>
      <c r="U140" s="25"/>
      <c r="V140" s="49">
        <f>U140/U12</f>
        <v>0</v>
      </c>
      <c r="W140" s="25"/>
      <c r="X140" s="49">
        <f>W140/W12</f>
        <v>0</v>
      </c>
      <c r="Y140" s="25"/>
      <c r="Z140" s="168">
        <f>Y140/Y12</f>
        <v>0</v>
      </c>
      <c r="AA140" s="275">
        <f t="shared" si="78"/>
        <v>0</v>
      </c>
      <c r="AB140" s="203">
        <f>AA140/AA12</f>
        <v>0</v>
      </c>
      <c r="AC140" s="76">
        <f t="shared" si="66"/>
        <v>0</v>
      </c>
      <c r="AD140" s="203">
        <f>AC140/AC12</f>
        <v>0</v>
      </c>
      <c r="AE140" s="75"/>
      <c r="AF140" s="158"/>
      <c r="AG140" s="75"/>
      <c r="AH140" s="76"/>
      <c r="AI140" s="244">
        <f>AH140/AH12</f>
        <v>0</v>
      </c>
      <c r="AJ140" s="282">
        <f t="shared" si="77"/>
        <v>0</v>
      </c>
      <c r="AK140" s="53">
        <f t="shared" si="27"/>
        <v>0</v>
      </c>
      <c r="AL140" s="53">
        <f t="shared" si="74"/>
        <v>0</v>
      </c>
      <c r="AM140" s="53">
        <f t="shared" si="75"/>
        <v>0</v>
      </c>
      <c r="AN140" s="53"/>
      <c r="AQ140" s="53">
        <f t="shared" si="64"/>
        <v>0</v>
      </c>
    </row>
    <row r="141" spans="1:44">
      <c r="A141" s="2">
        <v>6506</v>
      </c>
      <c r="B141" s="2" t="s">
        <v>179</v>
      </c>
      <c r="C141" s="525"/>
      <c r="D141" s="49">
        <f t="shared" ref="D141:AD141" si="79">C141/C$12</f>
        <v>0</v>
      </c>
      <c r="E141" s="525"/>
      <c r="F141" s="49">
        <f t="shared" si="79"/>
        <v>0</v>
      </c>
      <c r="G141" s="525"/>
      <c r="H141" s="49">
        <f t="shared" si="79"/>
        <v>0</v>
      </c>
      <c r="I141" s="525"/>
      <c r="J141" s="49">
        <f t="shared" si="79"/>
        <v>0</v>
      </c>
      <c r="K141" s="525"/>
      <c r="L141" s="49">
        <f t="shared" si="79"/>
        <v>0</v>
      </c>
      <c r="M141" s="525"/>
      <c r="N141" s="49">
        <f t="shared" si="79"/>
        <v>0</v>
      </c>
      <c r="O141" s="134"/>
      <c r="P141" s="49">
        <f t="shared" si="79"/>
        <v>0</v>
      </c>
      <c r="Q141" s="525"/>
      <c r="R141" s="49">
        <f t="shared" si="79"/>
        <v>0</v>
      </c>
      <c r="S141" s="525"/>
      <c r="T141" s="49">
        <f t="shared" si="79"/>
        <v>0</v>
      </c>
      <c r="U141" s="525"/>
      <c r="V141" s="49">
        <f>U141/U$12</f>
        <v>0</v>
      </c>
      <c r="W141" s="525"/>
      <c r="X141" s="49">
        <f t="shared" si="79"/>
        <v>0</v>
      </c>
      <c r="Y141" s="525"/>
      <c r="Z141" s="168">
        <f t="shared" si="79"/>
        <v>0</v>
      </c>
      <c r="AA141" s="275">
        <f t="shared" si="78"/>
        <v>0</v>
      </c>
      <c r="AB141" s="203">
        <f t="shared" si="79"/>
        <v>0</v>
      </c>
      <c r="AC141" s="194">
        <f t="shared" si="66"/>
        <v>0</v>
      </c>
      <c r="AD141" s="203">
        <f t="shared" si="79"/>
        <v>0</v>
      </c>
      <c r="AE141" s="159"/>
      <c r="AF141" s="204"/>
      <c r="AG141" s="204"/>
      <c r="AH141" s="194"/>
      <c r="AI141" s="244">
        <f>AH141/AH$12</f>
        <v>0</v>
      </c>
      <c r="AJ141" s="282">
        <f t="shared" si="77"/>
        <v>0</v>
      </c>
      <c r="AK141" s="53">
        <f t="shared" si="27"/>
        <v>0</v>
      </c>
      <c r="AL141" s="53">
        <f t="shared" si="74"/>
        <v>0</v>
      </c>
      <c r="AM141" s="305"/>
      <c r="AN141" s="305"/>
      <c r="AQ141" s="53">
        <f t="shared" si="64"/>
        <v>0</v>
      </c>
    </row>
    <row r="142" spans="1:44">
      <c r="A142" s="124">
        <v>6604</v>
      </c>
      <c r="B142" s="2" t="s">
        <v>122</v>
      </c>
      <c r="C142" s="518">
        <v>6940</v>
      </c>
      <c r="D142" s="73">
        <f>C142/C12</f>
        <v>5.9200045312772433E-2</v>
      </c>
      <c r="E142" s="540">
        <v>6940</v>
      </c>
      <c r="F142" s="73">
        <f>E142/E12</f>
        <v>7.6092461331269401E-2</v>
      </c>
      <c r="G142" s="540">
        <v>6940</v>
      </c>
      <c r="H142" s="73">
        <f>G142/G12</f>
        <v>4.5872609300165131E-2</v>
      </c>
      <c r="I142" s="540">
        <v>6940</v>
      </c>
      <c r="J142" s="73">
        <f>I142/I12</f>
        <v>5.1951197262874262E-2</v>
      </c>
      <c r="K142" s="540">
        <v>6940</v>
      </c>
      <c r="L142" s="73">
        <f>K142/K12</f>
        <v>5.6801980093431098E-2</v>
      </c>
      <c r="M142" s="540">
        <v>6940</v>
      </c>
      <c r="N142" s="73">
        <f>M142/M12</f>
        <v>4.0058205012786348E-2</v>
      </c>
      <c r="O142" s="540">
        <v>6940</v>
      </c>
      <c r="P142" s="73">
        <f>O142/O12</f>
        <v>6.3272057054953673E-2</v>
      </c>
      <c r="Q142" s="540">
        <v>6940</v>
      </c>
      <c r="R142" s="73">
        <f>Q142/Q12</f>
        <v>5.0954391436737786E-2</v>
      </c>
      <c r="S142" s="540">
        <v>6940</v>
      </c>
      <c r="T142" s="73">
        <f>S142/S12</f>
        <v>5.0581139260735326E-2</v>
      </c>
      <c r="U142" s="540">
        <v>6940</v>
      </c>
      <c r="V142" s="73">
        <f>U142/U12</f>
        <v>6.3767931042557124E-2</v>
      </c>
      <c r="W142" s="540">
        <v>6940</v>
      </c>
      <c r="X142" s="73">
        <f>W142/W12</f>
        <v>6.2674786909062766E-2</v>
      </c>
      <c r="Y142" s="540">
        <v>6940</v>
      </c>
      <c r="Z142" s="217">
        <f>Y142/Y12</f>
        <v>4.1488251781700618E-2</v>
      </c>
      <c r="AA142" s="275">
        <f t="shared" si="78"/>
        <v>83280</v>
      </c>
      <c r="AB142" s="203">
        <f>AA142/AA12</f>
        <v>5.3430305371692931E-2</v>
      </c>
      <c r="AC142" s="205">
        <f t="shared" si="66"/>
        <v>6940</v>
      </c>
      <c r="AD142" s="203">
        <f>AC142/AC12</f>
        <v>5.3430305371692931E-2</v>
      </c>
      <c r="AE142" s="159"/>
      <c r="AF142" s="227"/>
      <c r="AG142" s="159"/>
      <c r="AH142" s="205"/>
      <c r="AI142" s="244">
        <f>AH142/AH12</f>
        <v>0</v>
      </c>
      <c r="AJ142" s="282">
        <f t="shared" si="77"/>
        <v>90220</v>
      </c>
      <c r="AK142" s="53">
        <f t="shared" si="27"/>
        <v>0</v>
      </c>
      <c r="AL142" s="53">
        <f t="shared" si="74"/>
        <v>83280</v>
      </c>
      <c r="AM142" s="53">
        <f t="shared" ref="AM142:AM147" si="80">G142*9.4+I142*9.4+K142*9.4+M142*9.4+O142*9.4+Q142*9.4+S142*9.4+U142*9.4+W142*9.4+Y142*9.4</f>
        <v>652360</v>
      </c>
      <c r="AN142" s="53"/>
      <c r="AQ142" s="53">
        <f t="shared" si="64"/>
        <v>65236</v>
      </c>
    </row>
    <row r="143" spans="1:44">
      <c r="A143" s="2"/>
      <c r="B143" s="2"/>
      <c r="C143" s="130"/>
      <c r="D143" s="49">
        <f>C143/C12</f>
        <v>0</v>
      </c>
      <c r="E143" s="43"/>
      <c r="F143" s="49">
        <f>E143/E12</f>
        <v>0</v>
      </c>
      <c r="G143" s="80"/>
      <c r="H143" s="49">
        <f>G143/G12</f>
        <v>0</v>
      </c>
      <c r="I143" s="18"/>
      <c r="J143" s="49">
        <f>I143/I12</f>
        <v>0</v>
      </c>
      <c r="K143" s="43"/>
      <c r="L143" s="49">
        <f>K143/K12</f>
        <v>0</v>
      </c>
      <c r="M143" s="18"/>
      <c r="N143" s="49">
        <f>M143/M12</f>
        <v>0</v>
      </c>
      <c r="O143" s="18"/>
      <c r="P143" s="49">
        <f>O143/O12</f>
        <v>0</v>
      </c>
      <c r="Q143" s="18"/>
      <c r="R143" s="49">
        <f>Q143/Q12</f>
        <v>0</v>
      </c>
      <c r="S143" s="18"/>
      <c r="T143" s="49">
        <f>S143/S12</f>
        <v>0</v>
      </c>
      <c r="U143" s="43"/>
      <c r="V143" s="49">
        <f>U143/U12</f>
        <v>0</v>
      </c>
      <c r="W143" s="33"/>
      <c r="X143" s="49">
        <f>W143/W12</f>
        <v>0</v>
      </c>
      <c r="Y143" s="43"/>
      <c r="Z143" s="168">
        <f>Y143/Y12</f>
        <v>0</v>
      </c>
      <c r="AA143" s="275">
        <f t="shared" si="78"/>
        <v>0</v>
      </c>
      <c r="AB143" s="203">
        <f>AA143/AA12</f>
        <v>0</v>
      </c>
      <c r="AC143" s="205">
        <f t="shared" si="66"/>
        <v>0</v>
      </c>
      <c r="AD143" s="203">
        <f>AC143/AC12</f>
        <v>0</v>
      </c>
      <c r="AE143" s="159"/>
      <c r="AF143" s="227"/>
      <c r="AG143" s="159"/>
      <c r="AH143" s="205">
        <f>AF143/12</f>
        <v>0</v>
      </c>
      <c r="AI143" s="244">
        <f>AH143/AH12</f>
        <v>0</v>
      </c>
      <c r="AJ143" s="282">
        <f t="shared" si="77"/>
        <v>0</v>
      </c>
      <c r="AK143" s="53">
        <f t="shared" si="27"/>
        <v>0</v>
      </c>
      <c r="AL143" s="53">
        <f t="shared" si="74"/>
        <v>0</v>
      </c>
      <c r="AM143" s="53">
        <f t="shared" si="80"/>
        <v>0</v>
      </c>
      <c r="AN143" s="53"/>
      <c r="AQ143" s="53">
        <f t="shared" si="64"/>
        <v>0</v>
      </c>
    </row>
    <row r="144" spans="1:44" ht="15" customHeight="1">
      <c r="A144" s="45">
        <v>6798</v>
      </c>
      <c r="B144" s="45" t="s">
        <v>169</v>
      </c>
      <c r="C144" s="58">
        <f>SUM(C136:C143)</f>
        <v>10924.569</v>
      </c>
      <c r="D144" s="66">
        <f>C144/C12</f>
        <v>9.3189478360592076E-2</v>
      </c>
      <c r="E144" s="58">
        <f>SUM(E136:E143)</f>
        <v>10924.569</v>
      </c>
      <c r="F144" s="66">
        <f>E144/E12</f>
        <v>0.1197805971460064</v>
      </c>
      <c r="G144" s="58">
        <f>SUM(G136:G143)</f>
        <v>10924.569</v>
      </c>
      <c r="H144" s="66">
        <f>G144/G12</f>
        <v>7.2210156413500814E-2</v>
      </c>
      <c r="I144" s="58">
        <f>SUM(I136:I143)</f>
        <v>10924.569</v>
      </c>
      <c r="J144" s="66">
        <f>I144/I12</f>
        <v>8.1778737626928097E-2</v>
      </c>
      <c r="K144" s="58">
        <f>SUM(K136:K143)</f>
        <v>10924.569</v>
      </c>
      <c r="L144" s="66">
        <f>K144/K12</f>
        <v>8.9414575052927145E-2</v>
      </c>
      <c r="M144" s="58">
        <f>SUM(M136:M143)</f>
        <v>10924.569</v>
      </c>
      <c r="N144" s="66">
        <f>M144/M12</f>
        <v>6.305743871445682E-2</v>
      </c>
      <c r="O144" s="58">
        <f>SUM(O136:O143)</f>
        <v>10924.569</v>
      </c>
      <c r="P144" s="66">
        <f>O144/O12</f>
        <v>9.9599416868700025E-2</v>
      </c>
      <c r="Q144" s="58">
        <f>SUM(Q136:Q143)</f>
        <v>10924.569</v>
      </c>
      <c r="R144" s="66">
        <f>Q144/Q12</f>
        <v>8.0209620331938195E-2</v>
      </c>
      <c r="S144" s="58">
        <f>SUM(S136:S143)</f>
        <v>10924.569</v>
      </c>
      <c r="T144" s="66">
        <f>S144/S$12</f>
        <v>7.9622067140131425E-2</v>
      </c>
      <c r="U144" s="58">
        <f>SUM(U136:U143)</f>
        <v>10924.569</v>
      </c>
      <c r="V144" s="66">
        <f>U144/U12</f>
        <v>0.10037999461983534</v>
      </c>
      <c r="W144" s="58">
        <f>SUM(W136:W143)</f>
        <v>10924.569</v>
      </c>
      <c r="X144" s="66">
        <f>W144/W12</f>
        <v>9.8659226822529242E-2</v>
      </c>
      <c r="Y144" s="58">
        <f>SUM(Y136:Y143)</f>
        <v>10924.569</v>
      </c>
      <c r="Z144" s="213">
        <f>Y144/Y$12</f>
        <v>6.5308540241867621E-2</v>
      </c>
      <c r="AA144" s="276">
        <f>SUM(AA136:AA143)</f>
        <v>131094.82799999998</v>
      </c>
      <c r="AB144" s="230">
        <f>AA144/AA$12</f>
        <v>8.4107068836329971E-2</v>
      </c>
      <c r="AC144" s="229">
        <f t="shared" si="66"/>
        <v>10924.568999999998</v>
      </c>
      <c r="AD144" s="230">
        <f>AC144/AC$12</f>
        <v>8.4107068836329971E-2</v>
      </c>
      <c r="AE144" s="230"/>
      <c r="AF144" s="261"/>
      <c r="AG144" s="262"/>
      <c r="AH144" s="229">
        <f>SUM(AH136:AH143)</f>
        <v>63829.787234042553</v>
      </c>
      <c r="AI144" s="246">
        <f>AH144/AH$12</f>
        <v>7.9268998104507826E-2</v>
      </c>
      <c r="AJ144" s="286">
        <f t="shared" si="77"/>
        <v>205849.18423404254</v>
      </c>
      <c r="AK144" s="53">
        <f t="shared" si="27"/>
        <v>0</v>
      </c>
      <c r="AL144" s="53">
        <f t="shared" si="74"/>
        <v>131094.82800000001</v>
      </c>
      <c r="AM144" s="53">
        <f t="shared" si="80"/>
        <v>1026909.486</v>
      </c>
      <c r="AN144" s="53"/>
      <c r="AQ144" s="53">
        <f t="shared" si="64"/>
        <v>102690.9486</v>
      </c>
    </row>
    <row r="145" spans="1:44">
      <c r="A145" s="45">
        <v>6799</v>
      </c>
      <c r="B145" s="45" t="s">
        <v>114</v>
      </c>
      <c r="C145" s="29">
        <f>C41+C76+C93+C115+C129+C144+C133</f>
        <v>39406.024109165752</v>
      </c>
      <c r="D145" s="66">
        <f>C145/C12</f>
        <v>0.33614386352432502</v>
      </c>
      <c r="E145" s="85">
        <f>E41+E76+E93+E115+E129+E144+E133</f>
        <v>39733.801535509869</v>
      </c>
      <c r="F145" s="66">
        <f>E145/E12</f>
        <v>0.43565457592004575</v>
      </c>
      <c r="G145" s="85">
        <f>G41+G76+G93+G115+G129+G144+G133</f>
        <v>41979.793614573835</v>
      </c>
      <c r="H145" s="66">
        <f>G145/G12</f>
        <v>0.2774816528793822</v>
      </c>
      <c r="I145" s="29">
        <f>I41+I76+I93+I115+I129+I144+I133</f>
        <v>41647.678690605841</v>
      </c>
      <c r="J145" s="66">
        <f>I145/I12</f>
        <v>0.31176466443753154</v>
      </c>
      <c r="K145" s="85">
        <f>K41+K76+K93+K115+K129+K144+K133</f>
        <v>42084.896119882251</v>
      </c>
      <c r="L145" s="66">
        <f>K145/K12</f>
        <v>0.34445323222415952</v>
      </c>
      <c r="M145" s="29">
        <f>M41+M76+M93+M115+M129+M144+M133</f>
        <v>39009.293877132804</v>
      </c>
      <c r="N145" s="66">
        <f>M145/M12</f>
        <v>0.22516459532193331</v>
      </c>
      <c r="O145" s="29">
        <f>O41+O76+O93+O115+O129+O144+O133</f>
        <v>39042.228747303263</v>
      </c>
      <c r="P145" s="66">
        <f>O145/O12</f>
        <v>0.35594843297578166</v>
      </c>
      <c r="Q145" s="29">
        <f>Q41+Q76+Q93+Q115+Q129+Q144+Q133</f>
        <v>42566.920692396903</v>
      </c>
      <c r="R145" s="66">
        <f>Q145/Q12</f>
        <v>0.31253192207737251</v>
      </c>
      <c r="S145" s="29">
        <f>S41+S76+S93+S115+S129+S144+S133</f>
        <v>41505.761853555283</v>
      </c>
      <c r="T145" s="66">
        <f>S145/S12</f>
        <v>0.302508461158155</v>
      </c>
      <c r="U145" s="85">
        <f>U41+U76+U93+U115+U129+U144+U133</f>
        <v>40025.856708437088</v>
      </c>
      <c r="V145" s="66">
        <f>U145/U12</f>
        <v>0.36777609085056034</v>
      </c>
      <c r="W145" s="85">
        <f>W41+W76+W93+W115+W129+W144+W133</f>
        <v>39080.163078817175</v>
      </c>
      <c r="X145" s="66">
        <f>W145/W12</f>
        <v>0.35293096445767852</v>
      </c>
      <c r="Y145" s="85">
        <f>Y41+Y76+Y93+Y115+Y129+Y144+Y133</f>
        <v>42643.014484167434</v>
      </c>
      <c r="Z145" s="213">
        <f>Y145/Y12</f>
        <v>0.25492566594378169</v>
      </c>
      <c r="AA145" s="200">
        <f>AA41+AA76+AA93+AA115+AA129+AA144+AA133</f>
        <v>488725.43351154745</v>
      </c>
      <c r="AB145" s="234">
        <f>AA145/AA12</f>
        <v>0.3135536642103145</v>
      </c>
      <c r="AC145" s="200">
        <f t="shared" si="66"/>
        <v>40727.119459295624</v>
      </c>
      <c r="AD145" s="234">
        <f>AC145/AC12</f>
        <v>0.3135536642103145</v>
      </c>
      <c r="AE145" s="75"/>
      <c r="AF145" s="158"/>
      <c r="AG145" s="75"/>
      <c r="AH145" s="200">
        <f>AH41+AH76+AH93+AH115+AH129+AH144+AH133</f>
        <v>399979.26616717328</v>
      </c>
      <c r="AI145" s="248">
        <f>AH145/AH12</f>
        <v>0.49672663916915338</v>
      </c>
      <c r="AJ145" s="286">
        <f t="shared" si="77"/>
        <v>929431.81913801632</v>
      </c>
      <c r="AK145" s="53">
        <f t="shared" si="27"/>
        <v>0</v>
      </c>
      <c r="AL145" s="53">
        <f t="shared" si="74"/>
        <v>488725.43351154745</v>
      </c>
      <c r="AM145" s="53">
        <f t="shared" si="80"/>
        <v>3850104.7139485958</v>
      </c>
      <c r="AN145" s="53"/>
      <c r="AQ145" s="53">
        <f t="shared" si="64"/>
        <v>400129.05450853088</v>
      </c>
      <c r="AR145" s="306">
        <f>AQ145-AQ142</f>
        <v>334893.05450853088</v>
      </c>
    </row>
    <row r="146" spans="1:44" ht="15.75" thickBot="1">
      <c r="A146" s="10">
        <v>6999</v>
      </c>
      <c r="B146" s="10" t="s">
        <v>121</v>
      </c>
      <c r="C146" s="28">
        <f>C135-C144</f>
        <v>17308.14565083426</v>
      </c>
      <c r="D146" s="67">
        <f>C146/C12</f>
        <v>0.14764308455467628</v>
      </c>
      <c r="E146" s="41">
        <f>E135-E144</f>
        <v>11626.017686490122</v>
      </c>
      <c r="F146" s="154">
        <f>E146/E12</f>
        <v>0.12747151314782476</v>
      </c>
      <c r="G146" s="41">
        <f>G135-G144</f>
        <v>33896.571951788064</v>
      </c>
      <c r="H146" s="67">
        <f>G146/G12</f>
        <v>0.22405247863966998</v>
      </c>
      <c r="I146" s="22">
        <f>I135-I144</f>
        <v>30985.147567687836</v>
      </c>
      <c r="J146" s="67">
        <f>I146/I12</f>
        <v>0.23194748033259646</v>
      </c>
      <c r="K146" s="59">
        <f>K135-K144</f>
        <v>25161.66882043875</v>
      </c>
      <c r="L146" s="67">
        <f>K146/K12</f>
        <v>0.20594129848070142</v>
      </c>
      <c r="M146" s="22">
        <f>M135-M144</f>
        <v>43206.536482512514</v>
      </c>
      <c r="N146" s="67">
        <f>M146/M12</f>
        <v>0.24939139716266845</v>
      </c>
      <c r="O146" s="22">
        <f>O135-O144</f>
        <v>20754.826369352337</v>
      </c>
      <c r="P146" s="67">
        <f>O146/O12</f>
        <v>0.18922198245062219</v>
      </c>
      <c r="Q146" s="46">
        <f>Q135-Q144</f>
        <v>34551.763433792221</v>
      </c>
      <c r="R146" s="67">
        <f>Q146/Q12</f>
        <v>0.25368358484654352</v>
      </c>
      <c r="S146" s="22">
        <f>S135-S144</f>
        <v>40271.019449460378</v>
      </c>
      <c r="T146" s="67">
        <f>S146/S12</f>
        <v>0.29350922809004848</v>
      </c>
      <c r="U146" s="41">
        <f>U135-U144</f>
        <v>14343.443738367972</v>
      </c>
      <c r="V146" s="67">
        <f>U146/U12</f>
        <v>0.13179419758228339</v>
      </c>
      <c r="W146" s="50">
        <f>W135-W144</f>
        <v>19847.665996788732</v>
      </c>
      <c r="X146" s="67">
        <f>W146/W12</f>
        <v>0.17924326181426292</v>
      </c>
      <c r="Y146" s="41">
        <f>Y135-Y144</f>
        <v>36721.303179315684</v>
      </c>
      <c r="Z146" s="214">
        <f>Y146/Y12</f>
        <v>0.21952488069965598</v>
      </c>
      <c r="AA146" s="279">
        <f>AA135-AA144</f>
        <v>328674.11032682861</v>
      </c>
      <c r="AB146" s="236">
        <f>AA146/AA12</f>
        <v>0.2108688530563394</v>
      </c>
      <c r="AC146" s="279">
        <f t="shared" si="66"/>
        <v>27389.509193902384</v>
      </c>
      <c r="AD146" s="236">
        <f>AC146/AC12</f>
        <v>0.2108688530563394</v>
      </c>
      <c r="AE146" s="260"/>
      <c r="AF146" s="259"/>
      <c r="AG146" s="260"/>
      <c r="AH146" s="279">
        <f>AH135-AH144</f>
        <v>-3263.6555447437422</v>
      </c>
      <c r="AI146" s="249">
        <f>AH146/AH12</f>
        <v>-4.0530717146442441E-3</v>
      </c>
      <c r="AJ146" s="287">
        <f t="shared" si="77"/>
        <v>352799.96397598722</v>
      </c>
      <c r="AK146" s="53">
        <f t="shared" si="27"/>
        <v>0</v>
      </c>
      <c r="AL146" s="53">
        <f t="shared" si="74"/>
        <v>328674.1103268289</v>
      </c>
      <c r="AM146" s="53">
        <f t="shared" si="80"/>
        <v>2817555.5017013424</v>
      </c>
      <c r="AN146" s="53"/>
      <c r="AQ146" s="53">
        <f t="shared" si="64"/>
        <v>324786.57627764688</v>
      </c>
    </row>
    <row r="147" spans="1:44" ht="15.75" thickTop="1">
      <c r="A147" s="305"/>
      <c r="B147" s="305"/>
      <c r="C147" s="30"/>
      <c r="D147" s="72"/>
      <c r="E147" s="62"/>
      <c r="F147" s="72"/>
      <c r="G147" s="87"/>
      <c r="H147" s="72"/>
      <c r="I147" s="25"/>
      <c r="J147" s="72"/>
      <c r="K147" s="62"/>
      <c r="L147" s="72"/>
      <c r="M147" s="25"/>
      <c r="N147" s="72"/>
      <c r="O147" s="25"/>
      <c r="P147" s="72"/>
      <c r="Q147" s="25"/>
      <c r="R147" s="72"/>
      <c r="S147" s="25"/>
      <c r="T147" s="72"/>
      <c r="U147" s="62"/>
      <c r="V147" s="72"/>
      <c r="W147" s="44"/>
      <c r="X147" s="72"/>
      <c r="Y147" s="62"/>
      <c r="Z147" s="103"/>
      <c r="AA147" s="193"/>
      <c r="AB147" s="202"/>
      <c r="AC147" s="197">
        <f t="shared" si="66"/>
        <v>0</v>
      </c>
      <c r="AD147" s="202"/>
      <c r="AE147" s="159"/>
      <c r="AF147" s="227"/>
      <c r="AG147" s="159"/>
      <c r="AH147" s="197"/>
      <c r="AI147" s="251"/>
      <c r="AJ147" s="282">
        <f t="shared" si="77"/>
        <v>0</v>
      </c>
      <c r="AK147" s="53">
        <f t="shared" si="27"/>
        <v>0</v>
      </c>
      <c r="AL147" s="53">
        <f t="shared" si="74"/>
        <v>0</v>
      </c>
      <c r="AM147" s="53">
        <f t="shared" si="80"/>
        <v>0</v>
      </c>
      <c r="AN147" s="53"/>
      <c r="AQ147" s="53">
        <f t="shared" si="64"/>
        <v>0</v>
      </c>
    </row>
    <row r="148" spans="1:44" ht="15.75" thickBot="1">
      <c r="A148" s="185"/>
      <c r="B148" s="10" t="s">
        <v>187</v>
      </c>
      <c r="C148" s="377">
        <f>C146*12%</f>
        <v>2076.9774781001111</v>
      </c>
      <c r="D148" s="187">
        <f>C148/C$12</f>
        <v>1.7717170146561153E-2</v>
      </c>
      <c r="E148" s="377">
        <f>E146*12%</f>
        <v>1395.1221223788145</v>
      </c>
      <c r="F148" s="187">
        <f>E148/E$12</f>
        <v>1.529658157773897E-2</v>
      </c>
      <c r="G148" s="377">
        <f>G146*12%</f>
        <v>4067.5886342145677</v>
      </c>
      <c r="H148" s="187">
        <f>G148/G$12</f>
        <v>2.6886297436760399E-2</v>
      </c>
      <c r="I148" s="377">
        <f>I146*12%</f>
        <v>3718.21770812254</v>
      </c>
      <c r="J148" s="187">
        <f>I148/I$12</f>
        <v>2.7833697639911573E-2</v>
      </c>
      <c r="K148" s="377">
        <f>K146*12%</f>
        <v>3019.4002584526497</v>
      </c>
      <c r="L148" s="187">
        <f>K148/K$12</f>
        <v>2.4712955817684165E-2</v>
      </c>
      <c r="M148" s="377">
        <f>M146*12%</f>
        <v>5184.7843779015011</v>
      </c>
      <c r="N148" s="187">
        <f>M148/M$12</f>
        <v>2.9926967659520212E-2</v>
      </c>
      <c r="O148" s="377">
        <f>O146*12%</f>
        <v>2490.5791643222801</v>
      </c>
      <c r="P148" s="187">
        <f>O148/O$12</f>
        <v>2.270663789407466E-2</v>
      </c>
      <c r="Q148" s="377">
        <f>Q146*12%</f>
        <v>4146.2116120550663</v>
      </c>
      <c r="R148" s="187">
        <f>Q148/Q$12</f>
        <v>3.0442030181585224E-2</v>
      </c>
      <c r="S148" s="377">
        <f>S146*12%</f>
        <v>4832.5223339352451</v>
      </c>
      <c r="T148" s="187">
        <f>S148/S$12</f>
        <v>3.5221107370805811E-2</v>
      </c>
      <c r="U148" s="377">
        <f>U146*12%</f>
        <v>1721.2132486041567</v>
      </c>
      <c r="V148" s="187">
        <f>U148/U$12</f>
        <v>1.5815303709874006E-2</v>
      </c>
      <c r="W148" s="377">
        <f>W146*12%</f>
        <v>2381.7199196146476</v>
      </c>
      <c r="X148" s="187">
        <f>W148/W$12</f>
        <v>2.1509191417711546E-2</v>
      </c>
      <c r="Y148" s="377">
        <f>Y146*12%</f>
        <v>4406.5563815178821</v>
      </c>
      <c r="Z148" s="218">
        <f>Y148/Y$12</f>
        <v>2.6342985683958715E-2</v>
      </c>
      <c r="AA148" s="279">
        <f>C148+E148+G148+I148+K148+M148+O148+Q148+S148+U148+W148+Y148</f>
        <v>39440.893239219462</v>
      </c>
      <c r="AB148" s="241">
        <f>AA148/AA$12</f>
        <v>2.5304262366760748E-2</v>
      </c>
      <c r="AC148" s="207">
        <f t="shared" si="66"/>
        <v>3286.7411032682885</v>
      </c>
      <c r="AD148" s="241">
        <f>AC148/AC$12</f>
        <v>2.5304262366760748E-2</v>
      </c>
      <c r="AE148" s="75"/>
      <c r="AF148" s="76"/>
      <c r="AG148" s="76"/>
      <c r="AH148" s="207">
        <v>0</v>
      </c>
      <c r="AI148" s="252">
        <f>AH148/AH$12</f>
        <v>0</v>
      </c>
      <c r="AJ148" s="282">
        <f t="shared" si="77"/>
        <v>42727.634342487749</v>
      </c>
      <c r="AK148" s="53">
        <f>AA148-AL148</f>
        <v>0</v>
      </c>
      <c r="AL148" s="53">
        <f t="shared" si="74"/>
        <v>39440.893239219462</v>
      </c>
      <c r="AM148" s="305"/>
      <c r="AN148" s="305"/>
      <c r="AQ148" s="53">
        <f t="shared" si="64"/>
        <v>38974.389153317628</v>
      </c>
    </row>
    <row r="149" spans="1:44" ht="15.75" thickTop="1">
      <c r="A149" s="305"/>
      <c r="B149" s="258"/>
      <c r="C149" s="130"/>
      <c r="D149" s="49"/>
      <c r="E149" s="130"/>
      <c r="F149" s="70"/>
      <c r="G149" s="130"/>
      <c r="H149" s="70"/>
      <c r="I149" s="130"/>
      <c r="J149" s="70"/>
      <c r="K149" s="130"/>
      <c r="L149" s="70"/>
      <c r="M149" s="130"/>
      <c r="N149" s="70"/>
      <c r="O149" s="130"/>
      <c r="P149" s="70"/>
      <c r="Q149" s="130"/>
      <c r="R149" s="70"/>
      <c r="S149" s="130"/>
      <c r="T149" s="70"/>
      <c r="U149" s="130"/>
      <c r="V149" s="70"/>
      <c r="W149" s="130"/>
      <c r="X149" s="70"/>
      <c r="Y149" s="130"/>
      <c r="AA149" s="193"/>
      <c r="AB149" s="202"/>
      <c r="AC149" s="159">
        <f t="shared" si="66"/>
        <v>0</v>
      </c>
      <c r="AD149" s="202"/>
      <c r="AE149" s="159"/>
      <c r="AF149" s="204"/>
      <c r="AG149" s="204"/>
      <c r="AH149" s="159"/>
      <c r="AI149" s="243"/>
      <c r="AJ149" s="282">
        <f t="shared" si="77"/>
        <v>0</v>
      </c>
      <c r="AK149" s="53">
        <f>AA149-AL149</f>
        <v>0</v>
      </c>
      <c r="AL149" s="53">
        <f t="shared" si="74"/>
        <v>0</v>
      </c>
      <c r="AM149" s="305"/>
      <c r="AN149" s="305"/>
      <c r="AQ149" s="53">
        <f t="shared" ref="AQ149:AQ152" si="81">Q149*9.4</f>
        <v>0</v>
      </c>
    </row>
    <row r="150" spans="1:44" ht="15.75" thickBot="1">
      <c r="A150" s="185"/>
      <c r="B150" s="10" t="s">
        <v>182</v>
      </c>
      <c r="C150" s="186"/>
      <c r="D150" s="187">
        <f>C150/C$12</f>
        <v>0</v>
      </c>
      <c r="E150" s="186">
        <v>0</v>
      </c>
      <c r="F150" s="187">
        <f>E150/E$12</f>
        <v>0</v>
      </c>
      <c r="G150" s="186"/>
      <c r="H150" s="187">
        <f>G150/G$12</f>
        <v>0</v>
      </c>
      <c r="I150" s="186">
        <v>0</v>
      </c>
      <c r="J150" s="187">
        <f>I150/I$12</f>
        <v>0</v>
      </c>
      <c r="K150" s="186">
        <v>0</v>
      </c>
      <c r="L150" s="187">
        <f>K150/K$12</f>
        <v>0</v>
      </c>
      <c r="M150" s="186">
        <v>0</v>
      </c>
      <c r="N150" s="187">
        <f>M150/M$12</f>
        <v>0</v>
      </c>
      <c r="O150" s="186">
        <v>0</v>
      </c>
      <c r="P150" s="187">
        <f>O150/O$12</f>
        <v>0</v>
      </c>
      <c r="Q150" s="186">
        <v>0</v>
      </c>
      <c r="R150" s="187">
        <f>Q150/Q$12</f>
        <v>0</v>
      </c>
      <c r="S150" s="186">
        <v>0</v>
      </c>
      <c r="T150" s="187">
        <v>0</v>
      </c>
      <c r="U150" s="186">
        <v>0</v>
      </c>
      <c r="V150" s="187">
        <f>U150/U$12</f>
        <v>0</v>
      </c>
      <c r="W150" s="186">
        <v>0</v>
      </c>
      <c r="X150" s="187">
        <f>W150/W$12</f>
        <v>0</v>
      </c>
      <c r="Y150" s="186">
        <v>0</v>
      </c>
      <c r="Z150" s="218">
        <f>Y150/Y$12</f>
        <v>0</v>
      </c>
      <c r="AA150" s="279">
        <f>C150+E150+G150+I150+K150+M150+O150+Q150+S150+U150+W150+Y150</f>
        <v>0</v>
      </c>
      <c r="AB150" s="241">
        <f>AA150/AA$12</f>
        <v>0</v>
      </c>
      <c r="AC150" s="207">
        <f>AA150/12</f>
        <v>0</v>
      </c>
      <c r="AD150" s="241">
        <f>AC150/AC$12</f>
        <v>0</v>
      </c>
      <c r="AE150" s="75"/>
      <c r="AF150" s="76"/>
      <c r="AG150" s="76"/>
      <c r="AH150" s="207">
        <v>0</v>
      </c>
      <c r="AI150" s="252">
        <f>AH150/AH$12</f>
        <v>0</v>
      </c>
      <c r="AJ150" s="282">
        <f t="shared" si="77"/>
        <v>0</v>
      </c>
      <c r="AK150" s="53">
        <f>AA150-AL150</f>
        <v>0</v>
      </c>
      <c r="AL150" s="53">
        <f t="shared" si="74"/>
        <v>0</v>
      </c>
      <c r="AM150" s="305"/>
      <c r="AN150" s="305"/>
      <c r="AQ150" s="53">
        <f t="shared" si="81"/>
        <v>0</v>
      </c>
    </row>
    <row r="151" spans="1:44" ht="15.75" thickTop="1">
      <c r="A151" s="305"/>
      <c r="B151" s="65"/>
      <c r="C151" s="130"/>
      <c r="D151" s="49"/>
      <c r="E151" s="130"/>
      <c r="F151" s="70"/>
      <c r="G151" s="130"/>
      <c r="H151" s="70"/>
      <c r="I151" s="130"/>
      <c r="J151" s="70"/>
      <c r="K151" s="130"/>
      <c r="L151" s="70"/>
      <c r="M151" s="130"/>
      <c r="N151" s="70"/>
      <c r="O151" s="130"/>
      <c r="P151" s="70"/>
      <c r="Q151" s="130"/>
      <c r="R151" s="70"/>
      <c r="S151" s="130"/>
      <c r="T151" s="70"/>
      <c r="U151" s="130"/>
      <c r="V151" s="70"/>
      <c r="W151" s="130"/>
      <c r="X151" s="72"/>
      <c r="Y151" s="130"/>
      <c r="Z151" s="103"/>
      <c r="AA151" s="193"/>
      <c r="AB151" s="202"/>
      <c r="AC151" s="159">
        <f>AA151/12</f>
        <v>0</v>
      </c>
      <c r="AD151" s="202"/>
      <c r="AE151" s="159"/>
      <c r="AF151" s="204"/>
      <c r="AG151" s="204"/>
      <c r="AH151" s="159"/>
      <c r="AI151" s="243"/>
      <c r="AJ151" s="282">
        <f t="shared" si="77"/>
        <v>0</v>
      </c>
      <c r="AK151" s="53">
        <f>AA151-AL151</f>
        <v>0</v>
      </c>
      <c r="AL151" s="53">
        <f t="shared" si="74"/>
        <v>0</v>
      </c>
      <c r="AM151" s="305"/>
      <c r="AN151" s="305"/>
      <c r="AQ151" s="53">
        <f t="shared" si="81"/>
        <v>0</v>
      </c>
    </row>
    <row r="152" spans="1:44" ht="15.75" thickBot="1">
      <c r="A152" s="106"/>
      <c r="B152" s="188" t="s">
        <v>181</v>
      </c>
      <c r="C152" s="290">
        <f>C146-C148-C150</f>
        <v>15231.168172734149</v>
      </c>
      <c r="D152" s="120">
        <f>C152/C$12</f>
        <v>0.12992591440811513</v>
      </c>
      <c r="E152" s="290">
        <f>E146-E148-E150</f>
        <v>10230.895564111308</v>
      </c>
      <c r="F152" s="120">
        <f>E152/E$12</f>
        <v>0.11217493157008579</v>
      </c>
      <c r="G152" s="290">
        <f>G146-G148-G150</f>
        <v>29828.983317573497</v>
      </c>
      <c r="H152" s="120">
        <f>G152/G$12</f>
        <v>0.19716618120290957</v>
      </c>
      <c r="I152" s="290">
        <f>I146-I148-I150</f>
        <v>27266.929859565294</v>
      </c>
      <c r="J152" s="120">
        <f>I152/I$12</f>
        <v>0.20411378269268488</v>
      </c>
      <c r="K152" s="189">
        <f>K146-K148-K150</f>
        <v>22142.2685619861</v>
      </c>
      <c r="L152" s="120">
        <f>K152/K$12</f>
        <v>0.18122834266301724</v>
      </c>
      <c r="M152" s="189">
        <f>M146-M148-M150</f>
        <v>38021.752104611012</v>
      </c>
      <c r="N152" s="120">
        <f>M152/M$12</f>
        <v>0.21946442950314823</v>
      </c>
      <c r="O152" s="189">
        <f>O146-O148-O150</f>
        <v>18264.247205030057</v>
      </c>
      <c r="P152" s="120">
        <f>O152/O$12</f>
        <v>0.16651534455654754</v>
      </c>
      <c r="Q152" s="189">
        <f>Q146-Q148-Q150</f>
        <v>30405.551821737154</v>
      </c>
      <c r="R152" s="120">
        <f>Q152/Q$12</f>
        <v>0.22324155466495832</v>
      </c>
      <c r="S152" s="189">
        <f>S146-S148-S150</f>
        <v>35438.497115525133</v>
      </c>
      <c r="T152" s="120">
        <f>S152/S$12</f>
        <v>0.25828812071924262</v>
      </c>
      <c r="U152" s="189">
        <f>U146-U148-U150</f>
        <v>12622.230489763815</v>
      </c>
      <c r="V152" s="120">
        <f>U152/U$12</f>
        <v>0.11597889387240938</v>
      </c>
      <c r="W152" s="189">
        <f>W146-W148-W150</f>
        <v>17465.946077174085</v>
      </c>
      <c r="X152" s="120">
        <f>W152/W$12</f>
        <v>0.15773407039655138</v>
      </c>
      <c r="Y152" s="189">
        <f>Y146-Y148-Y150</f>
        <v>32314.746797797801</v>
      </c>
      <c r="Z152" s="219">
        <f>Y152/Y$12</f>
        <v>0.19318189501569724</v>
      </c>
      <c r="AA152" s="280">
        <f>AA146-AA148-AA150</f>
        <v>289233.21708760917</v>
      </c>
      <c r="AB152" s="253">
        <f>AA152/AA$12</f>
        <v>0.18556459068957867</v>
      </c>
      <c r="AC152" s="254">
        <f>AA152/12</f>
        <v>24102.768090634097</v>
      </c>
      <c r="AD152" s="253">
        <f>AC152/AC$12</f>
        <v>0.18556459068957867</v>
      </c>
      <c r="AE152" s="255"/>
      <c r="AF152" s="256"/>
      <c r="AG152" s="256"/>
      <c r="AH152" s="254">
        <f>AH146-AH148-AH150</f>
        <v>-3263.6555447437422</v>
      </c>
      <c r="AI152" s="257">
        <f>AH152/AH$12</f>
        <v>-4.0530717146442441E-3</v>
      </c>
      <c r="AJ152" s="285">
        <f t="shared" si="77"/>
        <v>310072.3296334995</v>
      </c>
      <c r="AK152" s="53">
        <f>AA152-AL152</f>
        <v>0</v>
      </c>
      <c r="AL152" s="53">
        <f t="shared" si="74"/>
        <v>289233.2170876094</v>
      </c>
      <c r="AM152" s="305"/>
      <c r="AN152" s="305"/>
      <c r="AQ152" s="53">
        <f t="shared" si="81"/>
        <v>285812.18712432927</v>
      </c>
    </row>
    <row r="153" spans="1:44" ht="15.75" thickTop="1">
      <c r="B153" s="123">
        <f>C152+C153</f>
        <v>-15996.568827265852</v>
      </c>
      <c r="C153" s="24">
        <v>-31227.737000000001</v>
      </c>
      <c r="AA153" s="299">
        <f>AA152*9.4</f>
        <v>2718792.2406235263</v>
      </c>
      <c r="AB153" s="300" t="s">
        <v>194</v>
      </c>
    </row>
    <row r="154" spans="1:44">
      <c r="A154" s="305"/>
      <c r="B154" s="64" t="s">
        <v>183</v>
      </c>
      <c r="C154" s="306">
        <f>C152</f>
        <v>15231.168172734149</v>
      </c>
      <c r="D154" s="15"/>
      <c r="E154" s="306">
        <f>E152+C154</f>
        <v>25462.063736845455</v>
      </c>
      <c r="F154" s="190"/>
      <c r="G154" s="289">
        <f>G152+E154</f>
        <v>55291.047054418952</v>
      </c>
      <c r="H154" s="190"/>
      <c r="I154" s="306">
        <f>I152+G154</f>
        <v>82557.976913984254</v>
      </c>
      <c r="J154" s="190"/>
      <c r="K154" s="306">
        <f>K152+I154</f>
        <v>104700.24547597035</v>
      </c>
      <c r="L154" s="190"/>
      <c r="M154" s="306">
        <f>M152+K154</f>
        <v>142721.99758058137</v>
      </c>
      <c r="N154" s="190"/>
      <c r="O154" s="306">
        <f>O152+M154</f>
        <v>160986.24478561143</v>
      </c>
      <c r="P154" s="190"/>
      <c r="Q154" s="306">
        <f>Q152+O154</f>
        <v>191391.79660734857</v>
      </c>
      <c r="R154" s="190"/>
      <c r="S154" s="306">
        <f>S152+Q154</f>
        <v>226830.2937228737</v>
      </c>
      <c r="T154" s="190"/>
      <c r="U154" s="306">
        <f>U152+S154</f>
        <v>239452.52421263751</v>
      </c>
      <c r="V154" s="190"/>
      <c r="W154" s="306">
        <f>W152+U154</f>
        <v>256918.47028981161</v>
      </c>
      <c r="X154" s="190"/>
      <c r="Y154" s="306">
        <f>Y152+W154</f>
        <v>289233.2170876094</v>
      </c>
      <c r="Z154" s="281"/>
      <c r="AA154" s="123">
        <f>AA152+AA148</f>
        <v>328674.11032682861</v>
      </c>
      <c r="AJ154" s="307"/>
      <c r="AK154" s="305"/>
      <c r="AL154" s="191"/>
      <c r="AM154" s="191">
        <f>C154*0.985+E154*0.985+G154*0.985+I154*0.985+K154*0.985+M154*0.985+O154*0.985+Q154*0.985+S154*0.985+U154*0.985+W154*0.985+Y154*0.985</f>
        <v>1763915.3899558201</v>
      </c>
      <c r="AN154" s="191"/>
    </row>
    <row r="155" spans="1:44">
      <c r="O155" s="24">
        <v>-367033.7</v>
      </c>
      <c r="AA155" s="123">
        <f>AA154*12%</f>
        <v>39440.893239219433</v>
      </c>
    </row>
    <row r="156" spans="1:44">
      <c r="B156" s="308" t="s">
        <v>194</v>
      </c>
      <c r="C156" s="42">
        <f>C154*9.4</f>
        <v>143172.98082370101</v>
      </c>
      <c r="D156" s="379"/>
      <c r="E156" s="42">
        <f>E154*9.4</f>
        <v>239343.3991263473</v>
      </c>
      <c r="F156" s="379"/>
      <c r="G156" s="42">
        <f>G154*9.4</f>
        <v>519735.84231153817</v>
      </c>
      <c r="H156" s="379"/>
      <c r="I156" s="42">
        <f>I154*9.4</f>
        <v>776044.98299145198</v>
      </c>
      <c r="J156" s="379"/>
      <c r="K156" s="42">
        <f>K154*9.4</f>
        <v>984182.30747412133</v>
      </c>
      <c r="L156" s="379"/>
      <c r="M156" s="42">
        <f>M154*9.4</f>
        <v>1341586.7772574651</v>
      </c>
      <c r="N156" s="379"/>
      <c r="O156" s="42">
        <f>O154*9.4</f>
        <v>1513270.7009847476</v>
      </c>
      <c r="P156" s="379"/>
      <c r="Q156" s="42">
        <f>Q154*9.4</f>
        <v>1799082.8881090768</v>
      </c>
      <c r="R156" s="379"/>
      <c r="S156" s="42">
        <f>S154*9.4</f>
        <v>2132204.7609950127</v>
      </c>
      <c r="T156" s="379"/>
      <c r="U156" s="42">
        <f>U154*9.4</f>
        <v>2250853.7275987929</v>
      </c>
      <c r="V156" s="379"/>
      <c r="W156" s="42">
        <f>W154*9.4</f>
        <v>2415033.6207242291</v>
      </c>
      <c r="X156" s="379"/>
      <c r="Y156" s="42">
        <f>Y154*9.4</f>
        <v>2718792.2406235286</v>
      </c>
      <c r="Z156" s="379"/>
      <c r="AA156" s="123">
        <f>AA155*9.4</f>
        <v>370744.39644866268</v>
      </c>
    </row>
    <row r="157" spans="1:44">
      <c r="E157" s="123" t="s">
        <v>188</v>
      </c>
      <c r="G157" s="123" t="s">
        <v>188</v>
      </c>
      <c r="I157" s="24" t="s">
        <v>188</v>
      </c>
      <c r="K157" s="123" t="s">
        <v>188</v>
      </c>
    </row>
    <row r="158" spans="1:44">
      <c r="E158" s="123" t="s">
        <v>188</v>
      </c>
      <c r="I158" s="24">
        <f>I36*9.4</f>
        <v>572968.40288698813</v>
      </c>
      <c r="M158" s="24">
        <f>M36*9.4</f>
        <v>855701.47896874615</v>
      </c>
      <c r="O158" s="24">
        <f>O36*9.4</f>
        <v>468947.33884616307</v>
      </c>
    </row>
    <row r="159" spans="1:44">
      <c r="I159" s="24">
        <f>SUM(I145-I142+I148)*9.4</f>
        <v>361203.4261480468</v>
      </c>
      <c r="M159" s="24">
        <f>SUM(M145-M142+M148)*9.4</f>
        <v>350188.3355973225</v>
      </c>
      <c r="O159" s="24">
        <f>SUM(O145-O142+O148)*9.4</f>
        <v>325172.39436928008</v>
      </c>
    </row>
    <row r="160" spans="1:44" s="101" customFormat="1" hidden="1">
      <c r="B160" s="292" t="s">
        <v>121</v>
      </c>
      <c r="C160" s="293">
        <f>C152</f>
        <v>15231.168172734149</v>
      </c>
      <c r="D160" s="293"/>
      <c r="E160" s="293">
        <f>E152</f>
        <v>10230.895564111308</v>
      </c>
      <c r="F160" s="293"/>
      <c r="G160" s="293">
        <f>G152</f>
        <v>29828.983317573497</v>
      </c>
      <c r="H160" s="293"/>
      <c r="I160" s="293">
        <f>I152</f>
        <v>27266.929859565294</v>
      </c>
      <c r="J160" s="293"/>
      <c r="K160" s="293">
        <f>K152</f>
        <v>22142.2685619861</v>
      </c>
      <c r="L160" s="293"/>
      <c r="M160" s="293">
        <f>M152</f>
        <v>38021.752104611012</v>
      </c>
      <c r="N160" s="293"/>
      <c r="O160" s="293">
        <f>O152</f>
        <v>18264.247205030057</v>
      </c>
      <c r="P160" s="293"/>
      <c r="Q160" s="293">
        <f>Q152</f>
        <v>30405.551821737154</v>
      </c>
      <c r="R160" s="293"/>
      <c r="S160" s="293">
        <f>S152</f>
        <v>35438.497115525133</v>
      </c>
      <c r="T160" s="293"/>
      <c r="U160" s="293">
        <f>U152</f>
        <v>12622.230489763815</v>
      </c>
      <c r="V160" s="293"/>
      <c r="W160" s="293">
        <f>W152</f>
        <v>17465.946077174085</v>
      </c>
      <c r="X160" s="293"/>
      <c r="Y160" s="293">
        <f>Y152</f>
        <v>32314.746797797801</v>
      </c>
      <c r="Z160" s="293"/>
      <c r="AA160" s="293">
        <f>AA152</f>
        <v>289233.21708760917</v>
      </c>
      <c r="AB160" s="293"/>
      <c r="AC160" s="293">
        <f>AC152</f>
        <v>24102.768090634097</v>
      </c>
      <c r="AD160" s="293"/>
    </row>
    <row r="161" spans="2:30" s="101" customFormat="1" hidden="1">
      <c r="C161" s="102"/>
      <c r="D161" s="217"/>
      <c r="E161" s="102"/>
      <c r="F161" s="103"/>
      <c r="G161" s="102"/>
      <c r="H161" s="103"/>
      <c r="I161" s="102"/>
      <c r="J161" s="103"/>
      <c r="K161" s="102"/>
      <c r="L161" s="103"/>
      <c r="M161" s="102"/>
      <c r="N161" s="103"/>
      <c r="O161" s="102"/>
      <c r="P161" s="103"/>
      <c r="Q161" s="102"/>
      <c r="R161" s="103"/>
      <c r="S161" s="102"/>
      <c r="T161" s="103"/>
      <c r="U161" s="102"/>
      <c r="V161" s="103"/>
      <c r="W161" s="102"/>
      <c r="X161" s="103"/>
      <c r="Y161" s="102"/>
      <c r="Z161" s="103"/>
      <c r="AA161" s="100"/>
      <c r="AB161" s="104"/>
      <c r="AC161" s="100"/>
      <c r="AD161" s="104"/>
    </row>
    <row r="162" spans="2:30" s="101" customFormat="1" hidden="1">
      <c r="B162" s="101" t="s">
        <v>189</v>
      </c>
      <c r="C162" s="102">
        <f>C150</f>
        <v>0</v>
      </c>
      <c r="D162" s="217"/>
      <c r="E162" s="102">
        <f>E150</f>
        <v>0</v>
      </c>
      <c r="F162" s="103"/>
      <c r="G162" s="102">
        <f>G150</f>
        <v>0</v>
      </c>
      <c r="H162" s="103"/>
      <c r="I162" s="102">
        <f>I150</f>
        <v>0</v>
      </c>
      <c r="J162" s="103"/>
      <c r="K162" s="102">
        <f>K150</f>
        <v>0</v>
      </c>
      <c r="L162" s="103"/>
      <c r="M162" s="102">
        <f>M150</f>
        <v>0</v>
      </c>
      <c r="N162" s="103"/>
      <c r="O162" s="102">
        <f>O150</f>
        <v>0</v>
      </c>
      <c r="P162" s="103"/>
      <c r="Q162" s="102">
        <f>Q150</f>
        <v>0</v>
      </c>
      <c r="R162" s="103"/>
      <c r="S162" s="102">
        <f>S150</f>
        <v>0</v>
      </c>
      <c r="T162" s="103"/>
      <c r="U162" s="102">
        <f>U150</f>
        <v>0</v>
      </c>
      <c r="V162" s="103"/>
      <c r="W162" s="102">
        <f>W150</f>
        <v>0</v>
      </c>
      <c r="X162" s="103"/>
      <c r="Y162" s="102">
        <f>Y150</f>
        <v>0</v>
      </c>
      <c r="Z162" s="103"/>
      <c r="AA162" s="102">
        <f>AA150</f>
        <v>0</v>
      </c>
      <c r="AB162" s="104"/>
      <c r="AC162" s="102">
        <f>AC150</f>
        <v>0</v>
      </c>
      <c r="AD162" s="104"/>
    </row>
    <row r="163" spans="2:30" s="101" customFormat="1" hidden="1">
      <c r="C163" s="102"/>
      <c r="D163" s="217"/>
      <c r="E163" s="102"/>
      <c r="F163" s="103"/>
      <c r="G163" s="102"/>
      <c r="H163" s="103"/>
      <c r="I163" s="102"/>
      <c r="J163" s="103"/>
      <c r="K163" s="102"/>
      <c r="L163" s="103"/>
      <c r="M163" s="102"/>
      <c r="N163" s="103"/>
      <c r="O163" s="102"/>
      <c r="P163" s="103"/>
      <c r="Q163" s="102"/>
      <c r="R163" s="103"/>
      <c r="S163" s="102"/>
      <c r="T163" s="103"/>
      <c r="U163" s="102"/>
      <c r="V163" s="103"/>
      <c r="W163" s="102"/>
      <c r="X163" s="103"/>
      <c r="Y163" s="102"/>
      <c r="Z163" s="103"/>
      <c r="AA163" s="100"/>
      <c r="AB163" s="104"/>
      <c r="AC163" s="100"/>
      <c r="AD163" s="104"/>
    </row>
    <row r="164" spans="2:30" s="101" customFormat="1" hidden="1">
      <c r="B164" s="101" t="s">
        <v>190</v>
      </c>
      <c r="C164" s="102">
        <f>C142</f>
        <v>6940</v>
      </c>
      <c r="D164" s="102"/>
      <c r="E164" s="102">
        <f>E142</f>
        <v>6940</v>
      </c>
      <c r="F164" s="102"/>
      <c r="G164" s="102">
        <f>G142</f>
        <v>6940</v>
      </c>
      <c r="H164" s="102"/>
      <c r="I164" s="102">
        <f>I142</f>
        <v>6940</v>
      </c>
      <c r="J164" s="102"/>
      <c r="K164" s="102">
        <f>K142</f>
        <v>6940</v>
      </c>
      <c r="L164" s="102"/>
      <c r="M164" s="102">
        <f>M142</f>
        <v>6940</v>
      </c>
      <c r="N164" s="102"/>
      <c r="O164" s="102">
        <f>O142</f>
        <v>6940</v>
      </c>
      <c r="P164" s="102"/>
      <c r="Q164" s="102">
        <f>Q142</f>
        <v>6940</v>
      </c>
      <c r="R164" s="102"/>
      <c r="S164" s="102">
        <f>S142</f>
        <v>6940</v>
      </c>
      <c r="T164" s="102"/>
      <c r="U164" s="102">
        <f>U142</f>
        <v>6940</v>
      </c>
      <c r="V164" s="102"/>
      <c r="W164" s="102">
        <f>W142</f>
        <v>6940</v>
      </c>
      <c r="X164" s="102"/>
      <c r="Y164" s="102">
        <f>Y142</f>
        <v>6940</v>
      </c>
      <c r="Z164" s="102"/>
      <c r="AA164" s="102">
        <f>AA142</f>
        <v>83280</v>
      </c>
      <c r="AB164" s="102"/>
      <c r="AC164" s="102">
        <f>AC142</f>
        <v>6940</v>
      </c>
      <c r="AD164" s="102"/>
    </row>
    <row r="165" spans="2:30" s="101" customFormat="1" hidden="1">
      <c r="C165" s="102"/>
      <c r="D165" s="217"/>
      <c r="E165" s="102"/>
      <c r="F165" s="103"/>
      <c r="G165" s="102"/>
      <c r="H165" s="103"/>
      <c r="I165" s="102"/>
      <c r="J165" s="103"/>
      <c r="K165" s="102"/>
      <c r="L165" s="103"/>
      <c r="M165" s="102"/>
      <c r="N165" s="103"/>
      <c r="O165" s="102"/>
      <c r="P165" s="103"/>
      <c r="Q165" s="102"/>
      <c r="R165" s="103"/>
      <c r="S165" s="102"/>
      <c r="T165" s="103"/>
      <c r="U165" s="102"/>
      <c r="V165" s="103"/>
      <c r="W165" s="102"/>
      <c r="X165" s="103"/>
      <c r="Y165" s="102"/>
      <c r="Z165" s="103"/>
      <c r="AA165" s="102"/>
      <c r="AB165" s="104"/>
      <c r="AC165" s="102"/>
      <c r="AD165" s="104"/>
    </row>
    <row r="166" spans="2:30" s="101" customFormat="1" hidden="1">
      <c r="B166" s="101" t="s">
        <v>191</v>
      </c>
      <c r="C166" s="102">
        <f>C144-C142</f>
        <v>3984.5689999999995</v>
      </c>
      <c r="D166" s="102"/>
      <c r="E166" s="102">
        <f>E144-E142</f>
        <v>3984.5689999999995</v>
      </c>
      <c r="F166" s="102"/>
      <c r="G166" s="102">
        <f>G144-G142</f>
        <v>3984.5689999999995</v>
      </c>
      <c r="H166" s="102"/>
      <c r="I166" s="102">
        <f>I144-I142</f>
        <v>3984.5689999999995</v>
      </c>
      <c r="J166" s="102"/>
      <c r="K166" s="102">
        <f>K144-K142</f>
        <v>3984.5689999999995</v>
      </c>
      <c r="L166" s="102"/>
      <c r="M166" s="102">
        <f>M144-M142</f>
        <v>3984.5689999999995</v>
      </c>
      <c r="N166" s="102"/>
      <c r="O166" s="102">
        <f>O144-O142</f>
        <v>3984.5689999999995</v>
      </c>
      <c r="P166" s="102"/>
      <c r="Q166" s="102">
        <f>Q144-Q142</f>
        <v>3984.5689999999995</v>
      </c>
      <c r="R166" s="102"/>
      <c r="S166" s="102">
        <f>S144-S142</f>
        <v>3984.5689999999995</v>
      </c>
      <c r="T166" s="102"/>
      <c r="U166" s="102">
        <f>U144-U142</f>
        <v>3984.5689999999995</v>
      </c>
      <c r="V166" s="102"/>
      <c r="W166" s="102">
        <f>W144-W142</f>
        <v>3984.5689999999995</v>
      </c>
      <c r="X166" s="102"/>
      <c r="Y166" s="102">
        <f>Y144-Y142</f>
        <v>3984.5689999999995</v>
      </c>
      <c r="Z166" s="102"/>
      <c r="AA166" s="102">
        <f>AA144-AA142</f>
        <v>47814.82799999998</v>
      </c>
      <c r="AB166" s="102"/>
      <c r="AC166" s="102">
        <f>AC144-AC142</f>
        <v>3984.5689999999977</v>
      </c>
      <c r="AD166" s="102"/>
    </row>
    <row r="167" spans="2:30" s="101" customFormat="1" hidden="1">
      <c r="C167" s="102"/>
      <c r="D167" s="217"/>
      <c r="E167" s="102"/>
      <c r="F167" s="103"/>
      <c r="G167" s="102"/>
      <c r="H167" s="103"/>
      <c r="I167" s="102"/>
      <c r="J167" s="103"/>
      <c r="K167" s="102"/>
      <c r="L167" s="103"/>
      <c r="M167" s="102"/>
      <c r="N167" s="103"/>
      <c r="O167" s="102"/>
      <c r="P167" s="103"/>
      <c r="Q167" s="102"/>
      <c r="R167" s="103"/>
      <c r="S167" s="102"/>
      <c r="T167" s="103"/>
      <c r="U167" s="102"/>
      <c r="V167" s="103"/>
      <c r="W167" s="102"/>
      <c r="X167" s="103"/>
      <c r="Y167" s="102"/>
      <c r="Z167" s="103"/>
      <c r="AA167" s="100"/>
      <c r="AB167" s="104"/>
      <c r="AC167" s="102"/>
      <c r="AD167" s="104"/>
    </row>
    <row r="168" spans="2:30" s="101" customFormat="1" hidden="1">
      <c r="C168" s="102"/>
      <c r="D168" s="217"/>
      <c r="E168" s="102"/>
      <c r="F168" s="103"/>
      <c r="G168" s="102"/>
      <c r="H168" s="103"/>
      <c r="I168" s="102"/>
      <c r="J168" s="103"/>
      <c r="K168" s="102"/>
      <c r="L168" s="103"/>
      <c r="M168" s="102"/>
      <c r="N168" s="103"/>
      <c r="O168" s="102"/>
      <c r="P168" s="103"/>
      <c r="Q168" s="102"/>
      <c r="R168" s="103"/>
      <c r="S168" s="102"/>
      <c r="T168" s="103"/>
      <c r="U168" s="102"/>
      <c r="V168" s="103"/>
      <c r="W168" s="102"/>
      <c r="X168" s="103"/>
      <c r="Y168" s="102"/>
      <c r="Z168" s="103"/>
      <c r="AA168" s="100"/>
      <c r="AB168" s="104"/>
      <c r="AC168" s="100"/>
      <c r="AD168" s="104"/>
    </row>
    <row r="169" spans="2:30" s="101" customFormat="1" hidden="1">
      <c r="B169" s="294" t="s">
        <v>192</v>
      </c>
      <c r="C169" s="295">
        <f>C162+C160+C164+C166</f>
        <v>26155.737172734149</v>
      </c>
      <c r="D169" s="296"/>
      <c r="E169" s="295">
        <f>E162+E160+E164+E166</f>
        <v>21155.464564111306</v>
      </c>
      <c r="F169" s="295"/>
      <c r="G169" s="295">
        <f>G162+G160+G164+G166</f>
        <v>40753.5523175735</v>
      </c>
      <c r="H169" s="295"/>
      <c r="I169" s="295">
        <f>I162+I160+I164+I166</f>
        <v>38191.498859565298</v>
      </c>
      <c r="J169" s="295"/>
      <c r="K169" s="295">
        <f>K162+K160+K164+K166</f>
        <v>33066.837561986104</v>
      </c>
      <c r="L169" s="295"/>
      <c r="M169" s="295">
        <f>M162+M160+M164+M166</f>
        <v>48946.321104611008</v>
      </c>
      <c r="N169" s="295"/>
      <c r="O169" s="295">
        <f>O162+O160+O164+O166</f>
        <v>29188.816205030056</v>
      </c>
      <c r="P169" s="295"/>
      <c r="Q169" s="295">
        <f>Q162+Q160+Q164+Q166</f>
        <v>41330.12082173716</v>
      </c>
      <c r="R169" s="295"/>
      <c r="S169" s="295">
        <f>S162+S160+S164+S166</f>
        <v>46363.066115525129</v>
      </c>
      <c r="T169" s="295"/>
      <c r="U169" s="295">
        <f>U162+U160+U164+U166</f>
        <v>23546.799489763816</v>
      </c>
      <c r="V169" s="295"/>
      <c r="W169" s="295">
        <f>W162+W160+W164+W166</f>
        <v>28390.515077174085</v>
      </c>
      <c r="X169" s="295"/>
      <c r="Y169" s="295">
        <f>Y162+Y160+Y164+Y166</f>
        <v>43239.315797797797</v>
      </c>
      <c r="Z169" s="295"/>
      <c r="AA169" s="295">
        <f>AA162+AA160+AA164+AA166</f>
        <v>420328.04508760915</v>
      </c>
      <c r="AB169" s="104"/>
      <c r="AC169" s="102">
        <f>AA169/12</f>
        <v>35027.337090634093</v>
      </c>
      <c r="AD169" s="104"/>
    </row>
    <row r="170" spans="2:30" s="101" customFormat="1" hidden="1">
      <c r="C170" s="102"/>
      <c r="D170" s="217"/>
      <c r="E170" s="102"/>
      <c r="F170" s="103"/>
      <c r="G170" s="102"/>
      <c r="H170" s="103"/>
      <c r="I170" s="102"/>
      <c r="J170" s="103"/>
      <c r="K170" s="102"/>
      <c r="L170" s="103"/>
      <c r="M170" s="102"/>
      <c r="N170" s="103"/>
      <c r="O170" s="102"/>
      <c r="P170" s="103"/>
      <c r="Q170" s="102"/>
      <c r="R170" s="103"/>
      <c r="S170" s="102"/>
      <c r="T170" s="103"/>
      <c r="U170" s="102"/>
      <c r="V170" s="103"/>
      <c r="W170" s="102"/>
      <c r="X170" s="103"/>
      <c r="Y170" s="102"/>
      <c r="Z170" s="103"/>
      <c r="AA170" s="100"/>
      <c r="AB170" s="104"/>
      <c r="AC170" s="100"/>
      <c r="AD170" s="104"/>
    </row>
    <row r="171" spans="2:30" s="101" customFormat="1" hidden="1">
      <c r="B171" s="297"/>
      <c r="C171" s="102"/>
      <c r="D171" s="217"/>
      <c r="E171" s="102"/>
      <c r="F171" s="103"/>
      <c r="G171" s="102"/>
      <c r="H171" s="103"/>
      <c r="I171" s="102"/>
      <c r="J171" s="103"/>
      <c r="K171" s="102"/>
      <c r="L171" s="103"/>
      <c r="M171" s="102"/>
      <c r="N171" s="103"/>
      <c r="O171" s="102"/>
      <c r="P171" s="103"/>
      <c r="Q171" s="102"/>
      <c r="R171" s="103"/>
      <c r="S171" s="102"/>
      <c r="T171" s="103"/>
      <c r="U171" s="102"/>
      <c r="V171" s="103"/>
      <c r="W171" s="102"/>
      <c r="X171" s="103"/>
      <c r="Y171" s="102"/>
      <c r="Z171" s="103"/>
      <c r="AA171" s="100"/>
      <c r="AB171" s="104"/>
      <c r="AC171" s="100"/>
      <c r="AD171" s="104"/>
    </row>
    <row r="172" spans="2:30" s="101" customFormat="1" hidden="1">
      <c r="B172" s="298" t="s">
        <v>193</v>
      </c>
      <c r="C172" s="293">
        <f>C169</f>
        <v>26155.737172734149</v>
      </c>
      <c r="D172" s="293"/>
      <c r="E172" s="293">
        <f>C172+E169</f>
        <v>47311.201736845454</v>
      </c>
      <c r="F172" s="293"/>
      <c r="G172" s="293">
        <f>E172+G169</f>
        <v>88064.754054418954</v>
      </c>
      <c r="H172" s="293"/>
      <c r="I172" s="293">
        <f>G172+I169</f>
        <v>126256.25291398425</v>
      </c>
      <c r="J172" s="293"/>
      <c r="K172" s="293">
        <f>I172+K169</f>
        <v>159323.09047597036</v>
      </c>
      <c r="L172" s="293"/>
      <c r="M172" s="293">
        <f>K172+M169</f>
        <v>208269.41158058136</v>
      </c>
      <c r="N172" s="293"/>
      <c r="O172" s="293">
        <f>M172+O169</f>
        <v>237458.22778561141</v>
      </c>
      <c r="P172" s="293"/>
      <c r="Q172" s="293">
        <f>O172+Q169</f>
        <v>278788.34860734857</v>
      </c>
      <c r="R172" s="293"/>
      <c r="S172" s="293">
        <f>Q172+S169</f>
        <v>325151.41472287371</v>
      </c>
      <c r="T172" s="293"/>
      <c r="U172" s="293">
        <f>S172+U169</f>
        <v>348698.21421263751</v>
      </c>
      <c r="V172" s="293"/>
      <c r="W172" s="293">
        <f>U172+W169</f>
        <v>377088.72928981157</v>
      </c>
      <c r="X172" s="293"/>
      <c r="Y172" s="293">
        <f>W172+Y169</f>
        <v>420328.04508760938</v>
      </c>
      <c r="Z172" s="293"/>
      <c r="AA172" s="293"/>
      <c r="AB172" s="293"/>
      <c r="AC172" s="293"/>
      <c r="AD172" s="293"/>
    </row>
    <row r="173" spans="2:30">
      <c r="I173" s="24">
        <f>SUM(I152+I142)*9.4</f>
        <v>321545.14067991381</v>
      </c>
      <c r="M173" s="24">
        <f>SUM(M152+M142)*9.4</f>
        <v>422640.46978334355</v>
      </c>
      <c r="O173" s="24">
        <f>SUM(O152+O142)*9.4</f>
        <v>236919.92372728256</v>
      </c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1" priority="1" operator="lessThan">
      <formula>0</formula>
    </cfRule>
  </conditionalFormatting>
  <printOptions horizontalCentered="1" verticalCentered="1" gridLines="1"/>
  <pageMargins left="0" right="0" top="1.07" bottom="0.75" header="0.3" footer="0.3"/>
  <pageSetup paperSize="8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173"/>
  <sheetViews>
    <sheetView tabSelected="1" zoomScale="85" zoomScaleNormal="85" zoomScaleSheetLayoutView="91" workbookViewId="0">
      <pane xSplit="2" ySplit="5" topLeftCell="O47" activePane="bottomRight" state="frozen"/>
      <selection pane="topRight" activeCell="C1" sqref="C1"/>
      <selection pane="bottomLeft" activeCell="A6" sqref="A6"/>
      <selection pane="bottomRight" activeCell="AA59" sqref="AA59"/>
    </sheetView>
  </sheetViews>
  <sheetFormatPr defaultColWidth="9.140625" defaultRowHeight="15"/>
  <cols>
    <col min="1" max="1" width="6.42578125" style="100" bestFit="1" customWidth="1"/>
    <col min="2" max="2" width="37.140625" style="100" bestFit="1" customWidth="1"/>
    <col min="3" max="3" width="13.28515625" style="24" bestFit="1" customWidth="1"/>
    <col min="4" max="4" width="7.5703125" style="104" customWidth="1"/>
    <col min="5" max="5" width="13.28515625" style="123" bestFit="1" customWidth="1"/>
    <col min="6" max="6" width="7.85546875" style="104" customWidth="1"/>
    <col min="7" max="7" width="13.28515625" style="123" bestFit="1" customWidth="1"/>
    <col min="8" max="8" width="9" style="104" customWidth="1"/>
    <col min="9" max="9" width="15.42578125" style="24" customWidth="1"/>
    <col min="10" max="10" width="8.7109375" style="104" customWidth="1"/>
    <col min="11" max="11" width="13.7109375" style="123" customWidth="1"/>
    <col min="12" max="12" width="8.85546875" style="104" bestFit="1" customWidth="1"/>
    <col min="13" max="13" width="14.28515625" style="24" customWidth="1"/>
    <col min="14" max="14" width="7.5703125" style="104" customWidth="1"/>
    <col min="15" max="15" width="13.5703125" style="24" customWidth="1"/>
    <col min="16" max="16" width="7.5703125" style="104" customWidth="1"/>
    <col min="17" max="17" width="14" style="24" customWidth="1"/>
    <col min="18" max="18" width="7.5703125" style="104" customWidth="1"/>
    <col min="19" max="19" width="13.5703125" style="24" customWidth="1"/>
    <col min="20" max="20" width="7.5703125" style="104" customWidth="1"/>
    <col min="21" max="21" width="13.5703125" style="123" customWidth="1"/>
    <col min="22" max="22" width="7.5703125" style="104" customWidth="1"/>
    <col min="23" max="23" width="12.140625" style="100" customWidth="1"/>
    <col min="24" max="24" width="7.5703125" style="104" customWidth="1"/>
    <col min="25" max="25" width="13.5703125" style="123" customWidth="1"/>
    <col min="26" max="26" width="7.5703125" style="104" customWidth="1"/>
    <col min="27" max="27" width="15.28515625" style="100" bestFit="1" customWidth="1"/>
    <col min="28" max="28" width="9.7109375" style="155" customWidth="1"/>
    <col min="29" max="29" width="12.85546875" style="100" customWidth="1"/>
    <col min="30" max="30" width="7.5703125" style="155" hidden="1" customWidth="1"/>
    <col min="31" max="31" width="22.5703125" style="100" hidden="1" customWidth="1"/>
    <col min="32" max="32" width="14" style="123" hidden="1" customWidth="1"/>
    <col min="33" max="33" width="57.42578125" style="100" hidden="1" customWidth="1"/>
    <col min="34" max="34" width="14.42578125" style="100" hidden="1" customWidth="1"/>
    <col min="35" max="35" width="9.140625" style="100" hidden="1" customWidth="1"/>
    <col min="36" max="36" width="13.28515625" style="308" hidden="1" customWidth="1"/>
    <col min="37" max="37" width="10.28515625" style="100" hidden="1" customWidth="1"/>
    <col min="38" max="40" width="14.28515625" style="100" hidden="1" customWidth="1"/>
    <col min="41" max="41" width="10.28515625" style="5" hidden="1" customWidth="1"/>
    <col min="42" max="42" width="13.28515625" style="305" hidden="1" customWidth="1"/>
    <col min="43" max="44" width="0" style="305" hidden="1" customWidth="1"/>
    <col min="45" max="45" width="11.7109375" style="305" hidden="1" customWidth="1"/>
    <col min="46" max="46" width="17.28515625" style="305" bestFit="1" customWidth="1"/>
    <col min="47" max="47" width="8.28515625" style="305" customWidth="1"/>
    <col min="48" max="48" width="14.140625" style="305" bestFit="1" customWidth="1"/>
    <col min="49" max="16384" width="9.140625" style="305"/>
  </cols>
  <sheetData>
    <row r="1" spans="1:45">
      <c r="A1" s="662" t="s">
        <v>288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3"/>
      <c r="AE1" s="305"/>
      <c r="AF1" s="306"/>
      <c r="AG1" s="305"/>
      <c r="AH1" s="75"/>
      <c r="AI1" s="75"/>
      <c r="AJ1" s="307"/>
      <c r="AK1" s="305"/>
      <c r="AL1" s="5"/>
      <c r="AM1" s="5"/>
      <c r="AN1" s="5"/>
      <c r="AO1" s="5" t="s">
        <v>228</v>
      </c>
      <c r="AP1" s="309">
        <v>27680</v>
      </c>
      <c r="AQ1" s="309"/>
    </row>
    <row r="2" spans="1:45">
      <c r="A2" s="26"/>
      <c r="B2" s="26"/>
      <c r="C2" s="128" t="s">
        <v>65</v>
      </c>
      <c r="D2" s="74"/>
      <c r="E2" s="645" t="s">
        <v>66</v>
      </c>
      <c r="F2" s="646"/>
      <c r="G2" s="409" t="s">
        <v>81</v>
      </c>
      <c r="H2" s="74"/>
      <c r="I2" s="645" t="s">
        <v>82</v>
      </c>
      <c r="J2" s="646"/>
      <c r="K2" s="645" t="s">
        <v>83</v>
      </c>
      <c r="L2" s="647"/>
      <c r="M2" s="645" t="s">
        <v>84</v>
      </c>
      <c r="N2" s="646"/>
      <c r="O2" s="645" t="s">
        <v>85</v>
      </c>
      <c r="P2" s="647"/>
      <c r="Q2" s="645" t="s">
        <v>86</v>
      </c>
      <c r="R2" s="646"/>
      <c r="S2" s="640" t="s">
        <v>87</v>
      </c>
      <c r="T2" s="640"/>
      <c r="U2" s="645" t="s">
        <v>108</v>
      </c>
      <c r="V2" s="647"/>
      <c r="W2" s="645" t="s">
        <v>109</v>
      </c>
      <c r="X2" s="646"/>
      <c r="Y2" s="640" t="s">
        <v>110</v>
      </c>
      <c r="Z2" s="640"/>
      <c r="AA2" s="641" t="s">
        <v>173</v>
      </c>
      <c r="AB2" s="641"/>
      <c r="AC2" s="642" t="s">
        <v>207</v>
      </c>
      <c r="AD2" s="642"/>
      <c r="AE2" s="89"/>
      <c r="AF2" s="143"/>
      <c r="AG2" s="89"/>
      <c r="AH2" s="642" t="s">
        <v>186</v>
      </c>
      <c r="AI2" s="642"/>
      <c r="AJ2" s="307" t="s">
        <v>173</v>
      </c>
      <c r="AK2" s="305"/>
      <c r="AL2" s="5"/>
      <c r="AM2" s="5"/>
      <c r="AN2" s="5"/>
      <c r="AO2" s="5" t="s">
        <v>208</v>
      </c>
    </row>
    <row r="3" spans="1:45" ht="15.75" thickBot="1">
      <c r="A3" s="47"/>
      <c r="B3" s="11" t="s">
        <v>70</v>
      </c>
      <c r="C3" s="129" t="s">
        <v>172</v>
      </c>
      <c r="D3" s="69" t="s">
        <v>80</v>
      </c>
      <c r="E3" s="52" t="s">
        <v>172</v>
      </c>
      <c r="F3" s="69" t="s">
        <v>80</v>
      </c>
      <c r="G3" s="77" t="s">
        <v>172</v>
      </c>
      <c r="H3" s="69" t="s">
        <v>80</v>
      </c>
      <c r="I3" s="51" t="s">
        <v>172</v>
      </c>
      <c r="J3" s="69" t="s">
        <v>80</v>
      </c>
      <c r="K3" s="52" t="s">
        <v>172</v>
      </c>
      <c r="L3" s="69" t="s">
        <v>80</v>
      </c>
      <c r="M3" s="51" t="s">
        <v>172</v>
      </c>
      <c r="N3" s="69" t="s">
        <v>80</v>
      </c>
      <c r="O3" s="51" t="s">
        <v>172</v>
      </c>
      <c r="P3" s="69" t="s">
        <v>80</v>
      </c>
      <c r="Q3" s="51" t="s">
        <v>172</v>
      </c>
      <c r="R3" s="69" t="s">
        <v>80</v>
      </c>
      <c r="S3" s="51" t="s">
        <v>172</v>
      </c>
      <c r="T3" s="69" t="s">
        <v>80</v>
      </c>
      <c r="U3" s="52" t="s">
        <v>172</v>
      </c>
      <c r="V3" s="69" t="s">
        <v>80</v>
      </c>
      <c r="W3" s="48" t="s">
        <v>172</v>
      </c>
      <c r="X3" s="69" t="s">
        <v>80</v>
      </c>
      <c r="Y3" s="52" t="s">
        <v>172</v>
      </c>
      <c r="Z3" s="69" t="s">
        <v>80</v>
      </c>
      <c r="AA3" s="220" t="s">
        <v>172</v>
      </c>
      <c r="AB3" s="221" t="s">
        <v>80</v>
      </c>
      <c r="AC3" s="222" t="s">
        <v>172</v>
      </c>
      <c r="AD3" s="223" t="s">
        <v>80</v>
      </c>
      <c r="AE3" s="146" t="s">
        <v>138</v>
      </c>
      <c r="AF3" s="224" t="s">
        <v>133</v>
      </c>
      <c r="AG3" s="146" t="s">
        <v>132</v>
      </c>
      <c r="AH3" s="222" t="s">
        <v>172</v>
      </c>
      <c r="AI3" s="223" t="s">
        <v>80</v>
      </c>
      <c r="AJ3" s="307"/>
      <c r="AK3" s="305"/>
      <c r="AL3" s="5"/>
      <c r="AM3" s="5"/>
      <c r="AN3" s="5"/>
    </row>
    <row r="4" spans="1:45">
      <c r="A4" s="305"/>
      <c r="B4" s="305"/>
      <c r="C4" s="130"/>
      <c r="D4" s="70"/>
      <c r="E4" s="53"/>
      <c r="F4" s="70"/>
      <c r="G4" s="78"/>
      <c r="H4" s="70"/>
      <c r="I4" s="18"/>
      <c r="J4" s="70"/>
      <c r="K4" s="53"/>
      <c r="L4" s="70"/>
      <c r="M4" s="18"/>
      <c r="N4" s="70"/>
      <c r="O4" s="18"/>
      <c r="P4" s="70"/>
      <c r="Q4" s="18"/>
      <c r="R4" s="70"/>
      <c r="S4" s="18"/>
      <c r="T4" s="70"/>
      <c r="U4" s="53"/>
      <c r="V4" s="70"/>
      <c r="W4" s="5"/>
      <c r="X4" s="70"/>
      <c r="Y4" s="53"/>
      <c r="AA4" s="269"/>
      <c r="AB4" s="270"/>
      <c r="AC4" s="271"/>
      <c r="AD4" s="270"/>
      <c r="AE4" s="271"/>
      <c r="AF4" s="272"/>
      <c r="AG4" s="271"/>
      <c r="AH4" s="271"/>
      <c r="AI4" s="273"/>
      <c r="AJ4" s="307"/>
      <c r="AK4" s="305"/>
      <c r="AL4" s="5"/>
      <c r="AM4" s="5"/>
      <c r="AN4" s="5"/>
    </row>
    <row r="5" spans="1:45" s="5" customFormat="1">
      <c r="A5" s="533">
        <v>5004</v>
      </c>
      <c r="B5" s="534" t="s">
        <v>72</v>
      </c>
      <c r="C5" s="618">
        <f>144222+C9</f>
        <v>177393.06672244298</v>
      </c>
      <c r="D5" s="535"/>
      <c r="E5" s="619">
        <f>112204.949851586+E9</f>
        <v>129035.69232932391</v>
      </c>
      <c r="F5" s="521">
        <f t="shared" ref="F5:F8" si="0">E5/E$5</f>
        <v>1</v>
      </c>
      <c r="G5" s="620">
        <f>186123.056832622+G9</f>
        <v>238237.51274575613</v>
      </c>
      <c r="H5" s="521">
        <f t="shared" ref="H5:H8" si="1">G5/G$5</f>
        <v>1</v>
      </c>
      <c r="I5" s="621">
        <f>164345.59+I9</f>
        <v>202145.07615362227</v>
      </c>
      <c r="J5" s="521">
        <f t="shared" ref="J5:J8" si="2">I5/I$5</f>
        <v>1</v>
      </c>
      <c r="K5" s="622">
        <f>150310.78588795+K9</f>
        <v>174360.51163002197</v>
      </c>
      <c r="L5" s="535"/>
      <c r="M5" s="623">
        <f>213138.61+M9</f>
        <v>268554.64945879765</v>
      </c>
      <c r="N5" s="535"/>
      <c r="O5" s="624">
        <f>134940.298533677+O9</f>
        <v>165976.56719642278</v>
      </c>
      <c r="P5" s="535"/>
      <c r="Q5" s="625">
        <f>167560.636622175+Q9</f>
        <v>207775.18941149695</v>
      </c>
      <c r="R5" s="535"/>
      <c r="S5" s="626">
        <f>168797.112770116+S9</f>
        <v>199180.59306873695</v>
      </c>
      <c r="T5" s="535"/>
      <c r="U5" s="627">
        <f>133890.971970491+U9</f>
        <v>178074.99272075319</v>
      </c>
      <c r="V5" s="535"/>
      <c r="W5" s="628">
        <f>136226.235283788+W9</f>
        <v>152573.38351784259</v>
      </c>
      <c r="X5" s="535"/>
      <c r="Y5" s="629">
        <f>205791.998967793+Y9</f>
        <v>259297.9186994191</v>
      </c>
      <c r="Z5" s="536"/>
      <c r="AA5" s="510">
        <f>C5+E5+G5+I5+K5+M5+O5+Q5+S5+U5+W5+Y5</f>
        <v>2352605.1536546363</v>
      </c>
      <c r="AB5" s="537"/>
      <c r="AC5" s="526">
        <f>AA5/12</f>
        <v>196050.42947121969</v>
      </c>
      <c r="AD5" s="537"/>
      <c r="AE5" s="159"/>
      <c r="AF5" s="227"/>
      <c r="AG5" s="227"/>
      <c r="AH5" s="526">
        <f>2265*365</f>
        <v>826725</v>
      </c>
      <c r="AI5" s="538"/>
      <c r="AJ5" s="282">
        <f t="shared" ref="AJ5:AJ68" si="3">SUM(AA5+AC5+AH5)</f>
        <v>3375380.5831258562</v>
      </c>
      <c r="AK5" s="53">
        <f t="shared" ref="AK5:AK68" si="4">AA5-AL5</f>
        <v>0</v>
      </c>
      <c r="AL5" s="53">
        <f>C5+E5+G5+I5+K5+M5+O5+Q5+S5+U5+W5+Y5</f>
        <v>2352605.1536546363</v>
      </c>
      <c r="AM5" s="53">
        <f>G5*9.4+J5*9.4+K5*9.4+M5*9.4+O5*9.4+Q5*9.4+S5*9.4+U5*9.4+W5*9.4+Y5*9.4</f>
        <v>17333903.793422926</v>
      </c>
      <c r="AN5" s="53" t="e">
        <f>#REF!-AM5</f>
        <v>#REF!</v>
      </c>
      <c r="AO5" s="53"/>
      <c r="AS5" s="53">
        <f>Q5*9.4</f>
        <v>1953086.7804680713</v>
      </c>
    </row>
    <row r="6" spans="1:45">
      <c r="A6" s="305">
        <v>5005</v>
      </c>
      <c r="B6" s="15" t="s">
        <v>68</v>
      </c>
      <c r="C6" s="524"/>
      <c r="D6" s="521">
        <f t="shared" ref="D6:D8" si="5">C6/C$5</f>
        <v>0</v>
      </c>
      <c r="E6" s="522"/>
      <c r="F6" s="521">
        <f t="shared" si="0"/>
        <v>0</v>
      </c>
      <c r="G6" s="519"/>
      <c r="H6" s="521">
        <f t="shared" si="1"/>
        <v>0</v>
      </c>
      <c r="I6" s="519"/>
      <c r="J6" s="521">
        <f t="shared" si="2"/>
        <v>0</v>
      </c>
      <c r="K6" s="520"/>
      <c r="L6" s="521">
        <f t="shared" ref="L6:L8" si="6">K6/K$5</f>
        <v>0</v>
      </c>
      <c r="M6" s="518"/>
      <c r="N6" s="521">
        <f t="shared" ref="N6:N8" si="7">M6/M$5</f>
        <v>0</v>
      </c>
      <c r="O6" s="519"/>
      <c r="P6" s="521">
        <f t="shared" ref="P6:P8" si="8">O6/O$5</f>
        <v>0</v>
      </c>
      <c r="Q6" s="519">
        <v>0</v>
      </c>
      <c r="R6" s="521">
        <f t="shared" ref="R6:R8" si="9">Q6/Q$5</f>
        <v>0</v>
      </c>
      <c r="S6" s="518">
        <v>0</v>
      </c>
      <c r="T6" s="521">
        <f t="shared" ref="T6:T8" si="10">S6/S$5</f>
        <v>0</v>
      </c>
      <c r="U6" s="522">
        <v>0</v>
      </c>
      <c r="V6" s="521">
        <f t="shared" ref="V6:V8" si="11">U6/U$5</f>
        <v>0</v>
      </c>
      <c r="W6" s="32">
        <v>0</v>
      </c>
      <c r="X6" s="521">
        <f t="shared" ref="X6:X8" si="12">W6/W$5</f>
        <v>0</v>
      </c>
      <c r="Y6" s="520"/>
      <c r="Z6" s="168">
        <f t="shared" ref="Z6:Z9" si="13">Y6/Y$5</f>
        <v>0</v>
      </c>
      <c r="AA6" s="275">
        <f t="shared" ref="AA6:AA11" si="14">C6+E6+G6+I6+K6+M6+O6+Q6+S6+U6+W6+Y6</f>
        <v>0</v>
      </c>
      <c r="AB6" s="202">
        <f t="shared" ref="AB6:AB11" si="15">AA6/AA$5</f>
        <v>0</v>
      </c>
      <c r="AC6" s="194">
        <f t="shared" ref="AC6:AC69" si="16">AA6/12</f>
        <v>0</v>
      </c>
      <c r="AD6" s="202">
        <f t="shared" ref="AD6:AD11" si="17">AC6/AC$5</f>
        <v>0</v>
      </c>
      <c r="AE6" s="75"/>
      <c r="AF6" s="158"/>
      <c r="AG6" s="75"/>
      <c r="AH6" s="194">
        <v>0</v>
      </c>
      <c r="AI6" s="243">
        <f t="shared" ref="AI6:AI11" si="18">AH6/AH$5</f>
        <v>0</v>
      </c>
      <c r="AJ6" s="282">
        <f t="shared" si="3"/>
        <v>0</v>
      </c>
      <c r="AK6" s="53">
        <f t="shared" si="4"/>
        <v>0</v>
      </c>
      <c r="AL6" s="53">
        <f t="shared" ref="AL6:AL69" si="19">C6+E6+G6+I6+K6+M6+O6+Q6+S6+U6+W6+Y6</f>
        <v>0</v>
      </c>
      <c r="AM6" s="53">
        <f>G6*9.4+I6*9.4+K6*9.4+M6*9.4+O6*9.4+Q6*9.4+S6*9.4+U6*9.4+W6*9.4+Y6*9.4</f>
        <v>0</v>
      </c>
      <c r="AN6" s="53" t="e">
        <f>#REF!-AM6</f>
        <v>#REF!</v>
      </c>
      <c r="AO6" s="53"/>
      <c r="AS6" s="53">
        <f t="shared" ref="AS6:AS69" si="20">Q6*9.4</f>
        <v>0</v>
      </c>
    </row>
    <row r="7" spans="1:45">
      <c r="A7" s="13">
        <v>5051</v>
      </c>
      <c r="B7" s="115" t="s">
        <v>106</v>
      </c>
      <c r="C7" s="131"/>
      <c r="D7" s="521">
        <f t="shared" si="5"/>
        <v>0</v>
      </c>
      <c r="E7" s="131"/>
      <c r="F7" s="521">
        <f t="shared" si="0"/>
        <v>0</v>
      </c>
      <c r="G7" s="81"/>
      <c r="H7" s="521">
        <f t="shared" si="1"/>
        <v>0</v>
      </c>
      <c r="I7" s="19"/>
      <c r="J7" s="521">
        <f t="shared" si="2"/>
        <v>0</v>
      </c>
      <c r="K7" s="522"/>
      <c r="L7" s="521">
        <f t="shared" si="6"/>
        <v>0</v>
      </c>
      <c r="M7" s="19"/>
      <c r="N7" s="521">
        <f t="shared" si="7"/>
        <v>0</v>
      </c>
      <c r="O7" s="519">
        <v>0</v>
      </c>
      <c r="P7" s="521">
        <f t="shared" si="8"/>
        <v>0</v>
      </c>
      <c r="Q7" s="541">
        <v>0</v>
      </c>
      <c r="R7" s="521">
        <f t="shared" si="9"/>
        <v>0</v>
      </c>
      <c r="S7" s="519">
        <v>0</v>
      </c>
      <c r="T7" s="521">
        <f t="shared" si="10"/>
        <v>0</v>
      </c>
      <c r="U7" s="522">
        <v>0</v>
      </c>
      <c r="V7" s="521">
        <f t="shared" si="11"/>
        <v>0</v>
      </c>
      <c r="W7" s="32">
        <v>0</v>
      </c>
      <c r="X7" s="521">
        <f t="shared" si="12"/>
        <v>0</v>
      </c>
      <c r="Y7" s="522"/>
      <c r="Z7" s="168">
        <f t="shared" si="13"/>
        <v>0</v>
      </c>
      <c r="AA7" s="275">
        <f t="shared" si="14"/>
        <v>0</v>
      </c>
      <c r="AB7" s="203">
        <f t="shared" si="15"/>
        <v>0</v>
      </c>
      <c r="AC7" s="196">
        <f t="shared" si="16"/>
        <v>0</v>
      </c>
      <c r="AD7" s="203">
        <f t="shared" si="17"/>
        <v>0</v>
      </c>
      <c r="AE7" s="75"/>
      <c r="AF7" s="158"/>
      <c r="AG7" s="75"/>
      <c r="AH7" s="196">
        <v>0</v>
      </c>
      <c r="AI7" s="244">
        <f t="shared" si="18"/>
        <v>0</v>
      </c>
      <c r="AJ7" s="282">
        <f t="shared" si="3"/>
        <v>0</v>
      </c>
      <c r="AK7" s="53">
        <f t="shared" si="4"/>
        <v>0</v>
      </c>
      <c r="AL7" s="53">
        <f t="shared" si="19"/>
        <v>0</v>
      </c>
      <c r="AM7" s="53">
        <f>G7*9.4+I7*9.4+K7*9.4+M7*9.4+O7*9.4+Q7*9.4+S7*9.4+U7*9.4+W7*9.4+Y7*9.4</f>
        <v>0</v>
      </c>
      <c r="AN7" s="53" t="e">
        <f>#REF!-AM7</f>
        <v>#REF!</v>
      </c>
      <c r="AO7" s="53"/>
      <c r="AS7" s="53">
        <f t="shared" si="20"/>
        <v>0</v>
      </c>
    </row>
    <row r="8" spans="1:45">
      <c r="A8" s="305">
        <v>5052</v>
      </c>
      <c r="B8" s="305" t="s">
        <v>90</v>
      </c>
      <c r="C8" s="524"/>
      <c r="D8" s="521">
        <f t="shared" si="5"/>
        <v>0</v>
      </c>
      <c r="E8" s="524"/>
      <c r="F8" s="521">
        <f t="shared" si="0"/>
        <v>0</v>
      </c>
      <c r="G8" s="541"/>
      <c r="H8" s="521">
        <f t="shared" si="1"/>
        <v>0</v>
      </c>
      <c r="I8" s="541"/>
      <c r="J8" s="521">
        <f t="shared" si="2"/>
        <v>0</v>
      </c>
      <c r="K8" s="541"/>
      <c r="L8" s="521">
        <f t="shared" si="6"/>
        <v>0</v>
      </c>
      <c r="M8" s="541"/>
      <c r="N8" s="521">
        <f t="shared" si="7"/>
        <v>0</v>
      </c>
      <c r="O8" s="541"/>
      <c r="P8" s="521">
        <f t="shared" si="8"/>
        <v>0</v>
      </c>
      <c r="Q8" s="541"/>
      <c r="R8" s="521">
        <f t="shared" si="9"/>
        <v>0</v>
      </c>
      <c r="S8" s="541"/>
      <c r="T8" s="521">
        <f t="shared" si="10"/>
        <v>0</v>
      </c>
      <c r="U8" s="519"/>
      <c r="V8" s="521">
        <f t="shared" si="11"/>
        <v>0</v>
      </c>
      <c r="W8" s="519"/>
      <c r="X8" s="521">
        <f t="shared" si="12"/>
        <v>0</v>
      </c>
      <c r="Y8" s="519"/>
      <c r="Z8" s="168">
        <f t="shared" si="13"/>
        <v>0</v>
      </c>
      <c r="AA8" s="275">
        <f t="shared" si="14"/>
        <v>0</v>
      </c>
      <c r="AB8" s="203">
        <f t="shared" si="15"/>
        <v>0</v>
      </c>
      <c r="AC8" s="204">
        <f>AA8/12</f>
        <v>0</v>
      </c>
      <c r="AD8" s="203">
        <f t="shared" si="17"/>
        <v>0</v>
      </c>
      <c r="AE8" s="75"/>
      <c r="AF8" s="158"/>
      <c r="AG8" s="75"/>
      <c r="AH8" s="204">
        <v>0</v>
      </c>
      <c r="AI8" s="244">
        <f t="shared" si="18"/>
        <v>0</v>
      </c>
      <c r="AJ8" s="282">
        <f t="shared" si="3"/>
        <v>0</v>
      </c>
      <c r="AK8" s="53">
        <f t="shared" si="4"/>
        <v>0</v>
      </c>
      <c r="AL8" s="53">
        <f t="shared" si="19"/>
        <v>0</v>
      </c>
      <c r="AM8" s="53">
        <f>G8*9.4+I8*9.4+K8*9.4+M8*9.4+O8*9.4+Q8*9.4+S8*9.4+U8*9.4+W8*9.4+Y8*9.4</f>
        <v>0</v>
      </c>
      <c r="AN8" s="53" t="e">
        <f>#REF!-AM8</f>
        <v>#REF!</v>
      </c>
      <c r="AO8" s="53">
        <v>258.7</v>
      </c>
      <c r="AS8" s="53">
        <f t="shared" si="20"/>
        <v>0</v>
      </c>
    </row>
    <row r="9" spans="1:45">
      <c r="A9" s="305">
        <v>5101</v>
      </c>
      <c r="B9" s="15" t="s">
        <v>47</v>
      </c>
      <c r="C9" s="305">
        <v>33171.066722442964</v>
      </c>
      <c r="D9" s="521">
        <v>0.28295800599454091</v>
      </c>
      <c r="E9" s="539">
        <v>16830.742477737902</v>
      </c>
      <c r="F9" s="521">
        <v>0.1845378299964397</v>
      </c>
      <c r="G9" s="539">
        <v>52114.455913134116</v>
      </c>
      <c r="H9" s="521">
        <v>0.34447061599335416</v>
      </c>
      <c r="I9" s="309">
        <v>37799.486153622274</v>
      </c>
      <c r="J9" s="521">
        <v>0.28295800599454096</v>
      </c>
      <c r="K9" s="309">
        <v>24049.725742071954</v>
      </c>
      <c r="L9" s="521">
        <v>0.19684035199620237</v>
      </c>
      <c r="M9" s="309">
        <v>55416.039458797633</v>
      </c>
      <c r="N9" s="521">
        <v>0.31986557199382892</v>
      </c>
      <c r="O9" s="309">
        <v>31036.268662745773</v>
      </c>
      <c r="P9" s="521">
        <v>0.28295800599454091</v>
      </c>
      <c r="Q9" s="309">
        <v>40214.552789321962</v>
      </c>
      <c r="R9" s="521">
        <v>0.29526052799430352</v>
      </c>
      <c r="S9" s="309">
        <v>30383.480298620965</v>
      </c>
      <c r="T9" s="521">
        <v>0.22144539599572766</v>
      </c>
      <c r="U9" s="305">
        <v>44184.020750262185</v>
      </c>
      <c r="V9" s="521">
        <v>0.40598322599216741</v>
      </c>
      <c r="W9" s="305">
        <v>16347.148234054599</v>
      </c>
      <c r="X9" s="521">
        <v>0.14763026399715179</v>
      </c>
      <c r="Y9" s="305">
        <v>53505.919731626083</v>
      </c>
      <c r="Z9" s="168">
        <f t="shared" si="13"/>
        <v>0.20634920634920603</v>
      </c>
      <c r="AA9" s="275">
        <f t="shared" si="14"/>
        <v>435052.90693443839</v>
      </c>
      <c r="AB9" s="203">
        <f t="shared" si="15"/>
        <v>0.18492389437241893</v>
      </c>
      <c r="AC9" s="194">
        <f t="shared" si="16"/>
        <v>36254.408911203202</v>
      </c>
      <c r="AD9" s="203">
        <f t="shared" si="17"/>
        <v>0.18492389437241896</v>
      </c>
      <c r="AE9" s="75"/>
      <c r="AF9" s="158"/>
      <c r="AG9" s="75"/>
      <c r="AH9" s="194">
        <f>AH5*0.9%</f>
        <v>7440.5250000000005</v>
      </c>
      <c r="AI9" s="244">
        <f t="shared" si="18"/>
        <v>9.0000000000000011E-3</v>
      </c>
      <c r="AJ9" s="282">
        <f t="shared" si="3"/>
        <v>478747.84084564162</v>
      </c>
      <c r="AK9" s="53">
        <f t="shared" si="4"/>
        <v>0</v>
      </c>
      <c r="AL9" s="53">
        <f t="shared" si="19"/>
        <v>435052.90693443839</v>
      </c>
      <c r="AM9" s="53">
        <f>G9*9.4+I9*9.4+K9*9.4+M9*9.4+O9*9.4+Q9*9.4+S9*9.4+U9*9.4+W9*9.4+Y9*9.4</f>
        <v>3619480.3187020211</v>
      </c>
      <c r="AN9" s="53" t="e">
        <f>#REF!-AM9</f>
        <v>#REF!</v>
      </c>
      <c r="AO9" s="53"/>
      <c r="AS9" s="53">
        <f t="shared" si="20"/>
        <v>378016.79621962644</v>
      </c>
    </row>
    <row r="10" spans="1:45">
      <c r="A10" s="305">
        <v>5102</v>
      </c>
      <c r="B10" s="305" t="s">
        <v>177</v>
      </c>
      <c r="C10" s="524"/>
      <c r="D10" s="49">
        <f t="shared" ref="D10:D14" si="21">C10/C$5</f>
        <v>0</v>
      </c>
      <c r="E10" s="43"/>
      <c r="F10" s="49">
        <f t="shared" ref="F10:F11" si="22">E10/E$5</f>
        <v>0</v>
      </c>
      <c r="G10" s="80"/>
      <c r="H10" s="49">
        <f t="shared" ref="H10:J11" si="23">G10/G$5</f>
        <v>0</v>
      </c>
      <c r="I10" s="18"/>
      <c r="J10" s="49">
        <f t="shared" si="23"/>
        <v>0</v>
      </c>
      <c r="K10" s="43"/>
      <c r="L10" s="49">
        <f t="shared" ref="L10:L11" si="24">K10/K$5</f>
        <v>0</v>
      </c>
      <c r="M10" s="520"/>
      <c r="N10" s="49">
        <f t="shared" ref="N10:N11" si="25">M10/M$5</f>
        <v>0</v>
      </c>
      <c r="O10" s="520"/>
      <c r="P10" s="49">
        <f t="shared" ref="P10:P11" si="26">O10/O$5</f>
        <v>0</v>
      </c>
      <c r="Q10" s="520"/>
      <c r="R10" s="49">
        <f t="shared" ref="R10:R11" si="27">Q10/Q$5</f>
        <v>0</v>
      </c>
      <c r="S10" s="520"/>
      <c r="T10" s="49">
        <f t="shared" ref="T10:T11" si="28">S10/S$5</f>
        <v>0</v>
      </c>
      <c r="U10" s="520"/>
      <c r="V10" s="49">
        <f t="shared" ref="V10:V11" si="29">U10/U$5</f>
        <v>0</v>
      </c>
      <c r="W10" s="520"/>
      <c r="X10" s="49">
        <f t="shared" ref="X10:X11" si="30">W10/W$5</f>
        <v>0</v>
      </c>
      <c r="Y10" s="18"/>
      <c r="Z10" s="168">
        <f t="shared" ref="Z10:Z11" si="31">Y10/Y$5</f>
        <v>0</v>
      </c>
      <c r="AA10" s="275">
        <f t="shared" si="14"/>
        <v>0</v>
      </c>
      <c r="AB10" s="203">
        <f t="shared" si="15"/>
        <v>0</v>
      </c>
      <c r="AC10" s="204">
        <f t="shared" si="16"/>
        <v>0</v>
      </c>
      <c r="AD10" s="203">
        <f t="shared" si="17"/>
        <v>0</v>
      </c>
      <c r="AE10" s="75"/>
      <c r="AF10" s="158"/>
      <c r="AG10" s="75"/>
      <c r="AH10" s="204">
        <f>AH5*1.7%</f>
        <v>14054.325000000001</v>
      </c>
      <c r="AI10" s="244">
        <f t="shared" si="18"/>
        <v>1.7000000000000001E-2</v>
      </c>
      <c r="AJ10" s="282">
        <f t="shared" si="3"/>
        <v>14054.325000000001</v>
      </c>
      <c r="AK10" s="53">
        <f t="shared" si="4"/>
        <v>0</v>
      </c>
      <c r="AL10" s="53">
        <f t="shared" si="19"/>
        <v>0</v>
      </c>
      <c r="AM10" s="53"/>
      <c r="AN10" s="53"/>
      <c r="AO10" s="53"/>
      <c r="AS10" s="53">
        <f t="shared" si="20"/>
        <v>0</v>
      </c>
    </row>
    <row r="11" spans="1:45">
      <c r="A11" s="305">
        <v>5103</v>
      </c>
      <c r="B11" s="15" t="s">
        <v>64</v>
      </c>
      <c r="C11" s="130"/>
      <c r="D11" s="49">
        <f t="shared" si="21"/>
        <v>0</v>
      </c>
      <c r="E11" s="43"/>
      <c r="F11" s="49">
        <f t="shared" si="22"/>
        <v>0</v>
      </c>
      <c r="G11" s="80"/>
      <c r="H11" s="49">
        <f t="shared" si="23"/>
        <v>0</v>
      </c>
      <c r="I11" s="18"/>
      <c r="J11" s="49">
        <f t="shared" si="23"/>
        <v>0</v>
      </c>
      <c r="K11" s="43"/>
      <c r="L11" s="49">
        <f t="shared" si="24"/>
        <v>0</v>
      </c>
      <c r="M11" s="18"/>
      <c r="N11" s="49">
        <f t="shared" si="25"/>
        <v>0</v>
      </c>
      <c r="O11" s="18"/>
      <c r="P11" s="49">
        <f t="shared" si="26"/>
        <v>0</v>
      </c>
      <c r="Q11" s="18"/>
      <c r="R11" s="49">
        <f t="shared" si="27"/>
        <v>0</v>
      </c>
      <c r="S11" s="18"/>
      <c r="T11" s="49">
        <f t="shared" si="28"/>
        <v>0</v>
      </c>
      <c r="U11" s="43"/>
      <c r="V11" s="49">
        <f t="shared" si="29"/>
        <v>0</v>
      </c>
      <c r="W11" s="33"/>
      <c r="X11" s="49">
        <f t="shared" si="30"/>
        <v>0</v>
      </c>
      <c r="Y11" s="43"/>
      <c r="Z11" s="168">
        <f t="shared" si="31"/>
        <v>0</v>
      </c>
      <c r="AA11" s="275">
        <f t="shared" si="14"/>
        <v>0</v>
      </c>
      <c r="AB11" s="203">
        <f t="shared" si="15"/>
        <v>0</v>
      </c>
      <c r="AC11" s="204">
        <f t="shared" si="16"/>
        <v>0</v>
      </c>
      <c r="AD11" s="203">
        <f t="shared" si="17"/>
        <v>0</v>
      </c>
      <c r="AE11" s="75"/>
      <c r="AF11" s="158"/>
      <c r="AG11" s="75"/>
      <c r="AH11" s="204">
        <v>0</v>
      </c>
      <c r="AI11" s="244">
        <f t="shared" si="18"/>
        <v>0</v>
      </c>
      <c r="AJ11" s="282">
        <f t="shared" si="3"/>
        <v>0</v>
      </c>
      <c r="AK11" s="53">
        <f t="shared" si="4"/>
        <v>0</v>
      </c>
      <c r="AL11" s="53">
        <f t="shared" si="19"/>
        <v>0</v>
      </c>
      <c r="AM11" s="53">
        <f t="shared" ref="AM11:AM80" si="32">G11*9.4+I11*9.4+K11*9.4+M11*9.4+O11*9.4+Q11*9.4+S11*9.4+U11*9.4+W11*9.4+Y11*9.4</f>
        <v>0</v>
      </c>
      <c r="AN11" s="53" t="e">
        <f>#REF!-AM11</f>
        <v>#REF!</v>
      </c>
      <c r="AO11" s="53"/>
      <c r="AS11" s="53">
        <f t="shared" si="20"/>
        <v>0</v>
      </c>
    </row>
    <row r="12" spans="1:45" ht="15.75" thickBot="1">
      <c r="A12" s="6">
        <v>5149</v>
      </c>
      <c r="B12" s="116" t="s">
        <v>67</v>
      </c>
      <c r="C12" s="55">
        <f>C5+C6-C7-C8-C9-C10+C11</f>
        <v>144222</v>
      </c>
      <c r="D12" s="88">
        <v>1</v>
      </c>
      <c r="E12" s="55">
        <f>E5+E6-E7-E8-E9-E10+E11</f>
        <v>112204.949851586</v>
      </c>
      <c r="F12" s="88">
        <v>1</v>
      </c>
      <c r="G12" s="55">
        <f>G5+G6-G7-G8-G9-G10+G11</f>
        <v>186123.05683262201</v>
      </c>
      <c r="H12" s="88">
        <v>1</v>
      </c>
      <c r="I12" s="55">
        <f>I5+I6-I7-I8-I9-I10+I11</f>
        <v>164345.59</v>
      </c>
      <c r="J12" s="88">
        <v>1</v>
      </c>
      <c r="K12" s="55">
        <f>K5+K6-K7-K8-K9-K10+K11</f>
        <v>150310.78588795001</v>
      </c>
      <c r="L12" s="88">
        <v>1</v>
      </c>
      <c r="M12" s="55">
        <f>M5+M6-M7-M8-M9-M10+M11</f>
        <v>213138.61000000002</v>
      </c>
      <c r="N12" s="88">
        <v>1</v>
      </c>
      <c r="O12" s="55">
        <f>O5+O6-O7-O8-O9-O10+O11</f>
        <v>134940.29853367701</v>
      </c>
      <c r="P12" s="88">
        <v>1</v>
      </c>
      <c r="Q12" s="55">
        <f>Q5+Q6-Q7-Q8-Q9-Q10+Q11</f>
        <v>167560.63662217499</v>
      </c>
      <c r="R12" s="88">
        <v>1</v>
      </c>
      <c r="S12" s="55">
        <f>S5+S6-S7-S8-S9-S10+S11</f>
        <v>168797.11277011599</v>
      </c>
      <c r="T12" s="88">
        <v>1</v>
      </c>
      <c r="U12" s="55">
        <f>U5+U6-U7-U8-U9-U10+U11</f>
        <v>133890.97197049099</v>
      </c>
      <c r="V12" s="88">
        <v>1</v>
      </c>
      <c r="W12" s="55">
        <f>W5+W6-W7-W8-W9-W10+W11</f>
        <v>136226.235283788</v>
      </c>
      <c r="X12" s="88">
        <v>1</v>
      </c>
      <c r="Y12" s="55">
        <f>Y5+Y6-Y7-Y8-Y9-Y10+Y11</f>
        <v>205791.99896779301</v>
      </c>
      <c r="Z12" s="209">
        <v>1</v>
      </c>
      <c r="AA12" s="200">
        <f>AA5+AA6-AA7-AA8-AA9-AA10+AA11</f>
        <v>1917552.2467201981</v>
      </c>
      <c r="AB12" s="228">
        <v>1</v>
      </c>
      <c r="AC12" s="199">
        <f t="shared" si="16"/>
        <v>159796.02056001651</v>
      </c>
      <c r="AD12" s="228">
        <v>1</v>
      </c>
      <c r="AE12" s="158" t="s">
        <v>136</v>
      </c>
      <c r="AF12" s="158"/>
      <c r="AG12" s="75" t="s">
        <v>170</v>
      </c>
      <c r="AH12" s="199">
        <f>AH5+AH6-AH7-AH8-AH9-AH10+AH11</f>
        <v>805230.15</v>
      </c>
      <c r="AI12" s="245">
        <v>1</v>
      </c>
      <c r="AJ12" s="286">
        <f t="shared" si="3"/>
        <v>2882578.4172802144</v>
      </c>
      <c r="AK12" s="53">
        <f t="shared" si="4"/>
        <v>0</v>
      </c>
      <c r="AL12" s="53">
        <f t="shared" si="19"/>
        <v>1917552.2467201981</v>
      </c>
      <c r="AM12" s="53">
        <f t="shared" si="32"/>
        <v>15614577.790564954</v>
      </c>
      <c r="AN12" s="53" t="e">
        <f>#REF!-AM12</f>
        <v>#REF!</v>
      </c>
      <c r="AO12" s="53"/>
      <c r="AS12" s="53">
        <f t="shared" si="20"/>
        <v>1575069.9842484449</v>
      </c>
    </row>
    <row r="13" spans="1:45" ht="15.75" thickTop="1">
      <c r="A13" s="305">
        <v>5151</v>
      </c>
      <c r="B13" s="15" t="s">
        <v>48</v>
      </c>
      <c r="C13" s="130"/>
      <c r="D13" s="521">
        <f t="shared" si="21"/>
        <v>0</v>
      </c>
      <c r="E13" s="43"/>
      <c r="F13" s="70"/>
      <c r="G13" s="80"/>
      <c r="H13" s="70"/>
      <c r="I13" s="18"/>
      <c r="J13" s="70"/>
      <c r="K13" s="43"/>
      <c r="L13" s="70"/>
      <c r="M13" s="18"/>
      <c r="N13" s="70"/>
      <c r="O13" s="18"/>
      <c r="P13" s="70"/>
      <c r="Q13" s="18"/>
      <c r="R13" s="70"/>
      <c r="S13" s="18"/>
      <c r="T13" s="70"/>
      <c r="U13" s="43"/>
      <c r="V13" s="70"/>
      <c r="W13" s="33"/>
      <c r="X13" s="70"/>
      <c r="Y13" s="43"/>
      <c r="AA13" s="275">
        <f>C13+E13+G13+I13+K13+M13+O13+Q13+S13+U13+W13+Y13</f>
        <v>0</v>
      </c>
      <c r="AB13" s="202"/>
      <c r="AC13" s="194">
        <f t="shared" si="16"/>
        <v>0</v>
      </c>
      <c r="AD13" s="202"/>
      <c r="AE13" s="75"/>
      <c r="AF13" s="158"/>
      <c r="AG13" s="75"/>
      <c r="AH13" s="194">
        <v>0</v>
      </c>
      <c r="AI13" s="243"/>
      <c r="AJ13" s="282">
        <f t="shared" si="3"/>
        <v>0</v>
      </c>
      <c r="AK13" s="53">
        <f t="shared" si="4"/>
        <v>0</v>
      </c>
      <c r="AL13" s="53">
        <f t="shared" si="19"/>
        <v>0</v>
      </c>
      <c r="AM13" s="53">
        <f t="shared" si="32"/>
        <v>0</v>
      </c>
      <c r="AN13" s="53" t="e">
        <f>#REF!-AM13</f>
        <v>#REF!</v>
      </c>
      <c r="AO13" s="53"/>
      <c r="AS13" s="53">
        <f t="shared" si="20"/>
        <v>0</v>
      </c>
    </row>
    <row r="14" spans="1:45">
      <c r="A14" s="305">
        <v>5152</v>
      </c>
      <c r="B14" s="15" t="s">
        <v>49</v>
      </c>
      <c r="C14" s="130"/>
      <c r="D14" s="521">
        <f t="shared" si="21"/>
        <v>0</v>
      </c>
      <c r="E14" s="43"/>
      <c r="F14" s="70"/>
      <c r="G14" s="80"/>
      <c r="H14" s="70"/>
      <c r="I14" s="18"/>
      <c r="J14" s="70"/>
      <c r="K14" s="43"/>
      <c r="L14" s="70"/>
      <c r="M14" s="18"/>
      <c r="N14" s="70"/>
      <c r="O14" s="18"/>
      <c r="P14" s="70"/>
      <c r="Q14" s="18"/>
      <c r="R14" s="70"/>
      <c r="S14" s="18"/>
      <c r="T14" s="70"/>
      <c r="U14" s="43"/>
      <c r="V14" s="70"/>
      <c r="W14" s="33"/>
      <c r="X14" s="70"/>
      <c r="Y14" s="43"/>
      <c r="AA14" s="275">
        <f>C14+E14+G14+I14+K14+M14+O14+Q14+S14+U14+W14+Y14</f>
        <v>0</v>
      </c>
      <c r="AB14" s="202"/>
      <c r="AC14" s="194">
        <f t="shared" si="16"/>
        <v>0</v>
      </c>
      <c r="AD14" s="202"/>
      <c r="AE14" s="75"/>
      <c r="AF14" s="158"/>
      <c r="AG14" s="75"/>
      <c r="AH14" s="194">
        <v>0</v>
      </c>
      <c r="AI14" s="243"/>
      <c r="AJ14" s="282">
        <f t="shared" si="3"/>
        <v>0</v>
      </c>
      <c r="AK14" s="53">
        <f t="shared" si="4"/>
        <v>0</v>
      </c>
      <c r="AL14" s="53">
        <f t="shared" si="19"/>
        <v>0</v>
      </c>
      <c r="AM14" s="53">
        <f t="shared" si="32"/>
        <v>0</v>
      </c>
      <c r="AN14" s="53" t="e">
        <f>#REF!-AM14</f>
        <v>#REF!</v>
      </c>
      <c r="AO14" s="53"/>
      <c r="AS14" s="53">
        <f t="shared" si="20"/>
        <v>0</v>
      </c>
    </row>
    <row r="15" spans="1:45" ht="15.75" thickBot="1">
      <c r="A15" s="35">
        <v>5198</v>
      </c>
      <c r="B15" s="117" t="s">
        <v>93</v>
      </c>
      <c r="C15" s="132">
        <f>C13+C14</f>
        <v>0</v>
      </c>
      <c r="D15" s="71"/>
      <c r="E15" s="56">
        <f>E13+E14</f>
        <v>0</v>
      </c>
      <c r="F15" s="71"/>
      <c r="G15" s="83">
        <f>G13+G14</f>
        <v>0</v>
      </c>
      <c r="H15" s="71"/>
      <c r="I15" s="126">
        <f>I13+I14</f>
        <v>0</v>
      </c>
      <c r="J15" s="71"/>
      <c r="K15" s="56">
        <f>K13+K14</f>
        <v>0</v>
      </c>
      <c r="L15" s="71"/>
      <c r="M15" s="126">
        <f>M13+M14</f>
        <v>0</v>
      </c>
      <c r="N15" s="71"/>
      <c r="O15" s="126">
        <f>O13+O14</f>
        <v>0</v>
      </c>
      <c r="P15" s="71"/>
      <c r="Q15" s="126">
        <f>Q13+Q14</f>
        <v>0</v>
      </c>
      <c r="R15" s="71"/>
      <c r="S15" s="126">
        <f>S13+S14</f>
        <v>0</v>
      </c>
      <c r="T15" s="71"/>
      <c r="U15" s="56">
        <f>U13+U14</f>
        <v>0</v>
      </c>
      <c r="V15" s="71"/>
      <c r="W15" s="36">
        <f>W13+W14</f>
        <v>0</v>
      </c>
      <c r="X15" s="71"/>
      <c r="Y15" s="56">
        <f>Y13+Y14</f>
        <v>0</v>
      </c>
      <c r="Z15" s="210"/>
      <c r="AA15" s="276">
        <f>AA13+AA14</f>
        <v>0</v>
      </c>
      <c r="AB15" s="230"/>
      <c r="AC15" s="231">
        <f t="shared" si="16"/>
        <v>0</v>
      </c>
      <c r="AD15" s="230"/>
      <c r="AE15" s="75"/>
      <c r="AF15" s="158"/>
      <c r="AG15" s="75"/>
      <c r="AH15" s="231">
        <v>0</v>
      </c>
      <c r="AI15" s="246"/>
      <c r="AJ15" s="282">
        <f t="shared" si="3"/>
        <v>0</v>
      </c>
      <c r="AK15" s="53">
        <f t="shared" si="4"/>
        <v>0</v>
      </c>
      <c r="AL15" s="53">
        <f t="shared" si="19"/>
        <v>0</v>
      </c>
      <c r="AM15" s="53">
        <f t="shared" si="32"/>
        <v>0</v>
      </c>
      <c r="AN15" s="53" t="e">
        <f>#REF!-AM15</f>
        <v>#REF!</v>
      </c>
      <c r="AO15" s="53"/>
      <c r="AS15" s="53">
        <f t="shared" si="20"/>
        <v>0</v>
      </c>
    </row>
    <row r="16" spans="1:45" ht="16.5" thickTop="1" thickBot="1">
      <c r="A16" s="37">
        <v>5199</v>
      </c>
      <c r="B16" s="118" t="s">
        <v>71</v>
      </c>
      <c r="C16" s="133">
        <f>C12+C15</f>
        <v>144222</v>
      </c>
      <c r="D16" s="39">
        <f>C16/C12</f>
        <v>1</v>
      </c>
      <c r="E16" s="57">
        <f>E12+E15</f>
        <v>112204.949851586</v>
      </c>
      <c r="F16" s="39">
        <f>E16/E12</f>
        <v>1</v>
      </c>
      <c r="G16" s="84">
        <f>G12+G15</f>
        <v>186123.05683262201</v>
      </c>
      <c r="H16" s="39">
        <f>G16/G12</f>
        <v>1</v>
      </c>
      <c r="I16" s="127">
        <f>I12+I15</f>
        <v>164345.59</v>
      </c>
      <c r="J16" s="39">
        <f>I16/I12</f>
        <v>1</v>
      </c>
      <c r="K16" s="57">
        <f>K12+K15</f>
        <v>150310.78588795001</v>
      </c>
      <c r="L16" s="39">
        <f>K16/K12</f>
        <v>1</v>
      </c>
      <c r="M16" s="127">
        <f>M12+M15</f>
        <v>213138.61000000002</v>
      </c>
      <c r="N16" s="39">
        <f>M16/M12</f>
        <v>1</v>
      </c>
      <c r="O16" s="127">
        <f>O12+O15</f>
        <v>134940.29853367701</v>
      </c>
      <c r="P16" s="39">
        <f>O16/O12</f>
        <v>1</v>
      </c>
      <c r="Q16" s="127">
        <f>Q12+Q15</f>
        <v>167560.63662217499</v>
      </c>
      <c r="R16" s="39">
        <f>Q16/Q12</f>
        <v>1</v>
      </c>
      <c r="S16" s="127">
        <f>S12+S15</f>
        <v>168797.11277011599</v>
      </c>
      <c r="T16" s="39">
        <f>S16/S12</f>
        <v>1</v>
      </c>
      <c r="U16" s="57">
        <f>U12+U15</f>
        <v>133890.97197049099</v>
      </c>
      <c r="V16" s="39">
        <f>U16/U12</f>
        <v>1</v>
      </c>
      <c r="W16" s="38">
        <f>W12+W15</f>
        <v>136226.235283788</v>
      </c>
      <c r="X16" s="39">
        <f>W16/W12</f>
        <v>1</v>
      </c>
      <c r="Y16" s="57">
        <f>Y12+Y15</f>
        <v>205791.99896779301</v>
      </c>
      <c r="Z16" s="211">
        <f>Y16/Y12</f>
        <v>1</v>
      </c>
      <c r="AA16" s="277">
        <f>AA12+AA15</f>
        <v>1917552.2467201981</v>
      </c>
      <c r="AB16" s="233">
        <f>AA16/AA12</f>
        <v>1</v>
      </c>
      <c r="AC16" s="232">
        <f t="shared" si="16"/>
        <v>159796.02056001651</v>
      </c>
      <c r="AD16" s="233">
        <f>AC16/AC12</f>
        <v>1</v>
      </c>
      <c r="AE16" s="75"/>
      <c r="AF16" s="158"/>
      <c r="AG16" s="75"/>
      <c r="AH16" s="232">
        <f>AH12+AH15</f>
        <v>805230.15</v>
      </c>
      <c r="AI16" s="247">
        <f>AH16/AH12</f>
        <v>1</v>
      </c>
      <c r="AJ16" s="287">
        <f t="shared" si="3"/>
        <v>2882578.4172802144</v>
      </c>
      <c r="AK16" s="53">
        <f t="shared" si="4"/>
        <v>0</v>
      </c>
      <c r="AL16" s="53">
        <f t="shared" si="19"/>
        <v>1917552.2467201981</v>
      </c>
      <c r="AM16" s="53">
        <f t="shared" si="32"/>
        <v>15614577.790564954</v>
      </c>
      <c r="AN16" s="53" t="e">
        <f>#REF!-AM16</f>
        <v>#REF!</v>
      </c>
      <c r="AO16" s="53"/>
      <c r="AS16" s="53">
        <f t="shared" si="20"/>
        <v>1575069.9842484449</v>
      </c>
    </row>
    <row r="17" spans="1:45" ht="15.75" thickTop="1">
      <c r="A17" s="12">
        <v>5502</v>
      </c>
      <c r="B17" s="14" t="s">
        <v>50</v>
      </c>
      <c r="C17" s="524">
        <f>C12*51.26%</f>
        <v>73928.197199999995</v>
      </c>
      <c r="D17" s="521">
        <f>C17/C12</f>
        <v>0.51259999999999994</v>
      </c>
      <c r="E17" s="524">
        <f>E12*46.32%</f>
        <v>51973.332771254638</v>
      </c>
      <c r="F17" s="521">
        <f>E17/E12</f>
        <v>0.4632</v>
      </c>
      <c r="G17" s="524">
        <f>G12*49.49%</f>
        <v>92112.300826464634</v>
      </c>
      <c r="H17" s="521">
        <f>G17/G12</f>
        <v>0.49490000000000001</v>
      </c>
      <c r="I17" s="524">
        <f>I12*47.27%</f>
        <v>77686.160392999998</v>
      </c>
      <c r="J17" s="521">
        <f>I17/I12</f>
        <v>0.47270000000000001</v>
      </c>
      <c r="K17" s="524">
        <f>K12*43.5%</f>
        <v>65385.191861258252</v>
      </c>
      <c r="L17" s="521">
        <f>K17/K12</f>
        <v>0.435</v>
      </c>
      <c r="M17" s="524">
        <f>M12*51.77%</f>
        <v>110341.85839700002</v>
      </c>
      <c r="N17" s="521">
        <f>M17/M12</f>
        <v>0.51770000000000005</v>
      </c>
      <c r="O17" s="524">
        <f>O12*43.65%</f>
        <v>58901.440309950012</v>
      </c>
      <c r="P17" s="521">
        <f>O17/O12</f>
        <v>0.4365</v>
      </c>
      <c r="Q17" s="524">
        <f>Q12*46.42%</f>
        <v>77781.647520013634</v>
      </c>
      <c r="R17" s="521">
        <f>Q17/Q12</f>
        <v>0.4642</v>
      </c>
      <c r="S17" s="524">
        <f>S12*49.31%</f>
        <v>83233.856306944203</v>
      </c>
      <c r="T17" s="521">
        <f>S17/S12</f>
        <v>0.49310000000000004</v>
      </c>
      <c r="U17" s="524">
        <f>U12*48.87%</f>
        <v>65432.518001978948</v>
      </c>
      <c r="V17" s="521">
        <f>U17/U12</f>
        <v>0.48869999999999997</v>
      </c>
      <c r="W17" s="524">
        <f>W12*45.64%</f>
        <v>62173.653783520851</v>
      </c>
      <c r="X17" s="521">
        <f>W17/W12</f>
        <v>0.45640000000000003</v>
      </c>
      <c r="Y17" s="524">
        <f>Y12*51.78%</f>
        <v>106559.09706552322</v>
      </c>
      <c r="Z17" s="521">
        <f>Y17/Y12</f>
        <v>0.51780000000000004</v>
      </c>
      <c r="AA17" s="275">
        <f>C17+E17+G17+I17+K17+M17+O17+Q17+S17+U17+W17+Y17</f>
        <v>925509.25443690841</v>
      </c>
      <c r="AB17" s="203">
        <f>AA17/AA12</f>
        <v>0.48265138851883144</v>
      </c>
      <c r="AC17" s="205">
        <f t="shared" si="16"/>
        <v>77125.771203075696</v>
      </c>
      <c r="AD17" s="203">
        <f>AC17/AC12</f>
        <v>0.48265138851883138</v>
      </c>
      <c r="AE17" s="75" t="s">
        <v>137</v>
      </c>
      <c r="AF17" s="160">
        <v>0.50339999999999996</v>
      </c>
      <c r="AG17" s="75" t="s">
        <v>170</v>
      </c>
      <c r="AH17" s="205">
        <f>AH12*50%</f>
        <v>402615.07500000001</v>
      </c>
      <c r="AI17" s="244">
        <f>AH17/AH12</f>
        <v>0.5</v>
      </c>
      <c r="AJ17" s="282">
        <f t="shared" si="3"/>
        <v>1405250.100639984</v>
      </c>
      <c r="AK17" s="53">
        <f t="shared" si="4"/>
        <v>0</v>
      </c>
      <c r="AL17" s="53">
        <f t="shared" si="19"/>
        <v>925509.25443690841</v>
      </c>
      <c r="AM17" s="53">
        <f t="shared" si="32"/>
        <v>7516312.6099771457</v>
      </c>
      <c r="AN17" s="53" t="e">
        <f>#REF!-AM17</f>
        <v>#REF!</v>
      </c>
      <c r="AO17" s="53"/>
      <c r="AS17" s="53">
        <f t="shared" si="20"/>
        <v>731147.48668812821</v>
      </c>
    </row>
    <row r="18" spans="1:45">
      <c r="A18" s="3">
        <v>5503</v>
      </c>
      <c r="B18" s="112" t="s">
        <v>51</v>
      </c>
      <c r="C18" s="130"/>
      <c r="D18" s="70"/>
      <c r="E18" s="43"/>
      <c r="F18" s="70"/>
      <c r="G18" s="523"/>
      <c r="H18" s="70"/>
      <c r="I18" s="18"/>
      <c r="J18" s="70"/>
      <c r="K18" s="43"/>
      <c r="L18" s="70"/>
      <c r="M18" s="18"/>
      <c r="N18" s="70"/>
      <c r="O18" s="18"/>
      <c r="P18" s="70"/>
      <c r="Q18" s="18"/>
      <c r="R18" s="70"/>
      <c r="S18" s="18"/>
      <c r="T18" s="70"/>
      <c r="U18" s="43"/>
      <c r="V18" s="70"/>
      <c r="W18" s="33"/>
      <c r="X18" s="70"/>
      <c r="Y18" s="43"/>
      <c r="AA18" s="275">
        <f>C18+E18+G18+I18+K18+M18+O18+Q18+S18+U18+W18+Y18</f>
        <v>0</v>
      </c>
      <c r="AB18" s="202"/>
      <c r="AC18" s="194">
        <f t="shared" si="16"/>
        <v>0</v>
      </c>
      <c r="AD18" s="202"/>
      <c r="AE18" s="75"/>
      <c r="AF18" s="158"/>
      <c r="AG18" s="75"/>
      <c r="AH18" s="194">
        <v>0</v>
      </c>
      <c r="AI18" s="243"/>
      <c r="AJ18" s="282">
        <f t="shared" si="3"/>
        <v>0</v>
      </c>
      <c r="AK18" s="53">
        <f t="shared" si="4"/>
        <v>0</v>
      </c>
      <c r="AL18" s="53">
        <f t="shared" si="19"/>
        <v>0</v>
      </c>
      <c r="AM18" s="53">
        <f t="shared" si="32"/>
        <v>0</v>
      </c>
      <c r="AN18" s="53" t="e">
        <f>#REF!-AM18</f>
        <v>#REF!</v>
      </c>
      <c r="AO18" s="53"/>
      <c r="AS18" s="53">
        <f t="shared" si="20"/>
        <v>0</v>
      </c>
    </row>
    <row r="19" spans="1:45">
      <c r="A19" s="3">
        <v>5504</v>
      </c>
      <c r="B19" s="112" t="s">
        <v>52</v>
      </c>
      <c r="C19" s="304"/>
      <c r="D19" s="49">
        <f>C19/C12</f>
        <v>0</v>
      </c>
      <c r="E19" s="303"/>
      <c r="F19" s="49">
        <f>E19/E12</f>
        <v>0</v>
      </c>
      <c r="G19" s="523"/>
      <c r="H19" s="49">
        <f>G19/G12</f>
        <v>0</v>
      </c>
      <c r="I19" s="540"/>
      <c r="J19" s="49">
        <f>I19/I12</f>
        <v>0</v>
      </c>
      <c r="K19" s="520"/>
      <c r="L19" s="49">
        <f>K19/K12</f>
        <v>0</v>
      </c>
      <c r="M19" s="301"/>
      <c r="N19" s="49">
        <f>M19/M12</f>
        <v>0</v>
      </c>
      <c r="O19" s="540"/>
      <c r="P19" s="49">
        <f>O19/O12</f>
        <v>0</v>
      </c>
      <c r="Q19" s="301"/>
      <c r="R19" s="49">
        <f>Q19/Q12</f>
        <v>0</v>
      </c>
      <c r="S19" s="540"/>
      <c r="T19" s="49">
        <f>S19/S12</f>
        <v>0</v>
      </c>
      <c r="U19" s="43"/>
      <c r="V19" s="49">
        <f>U19/U12</f>
        <v>0</v>
      </c>
      <c r="W19" s="33"/>
      <c r="X19" s="49">
        <f>W19/W12</f>
        <v>0</v>
      </c>
      <c r="Y19" s="43"/>
      <c r="Z19" s="168">
        <f>Y19/Y12</f>
        <v>0</v>
      </c>
      <c r="AA19" s="275">
        <f>C19+E19+G19+I19+K19+M19+O19+Q19+S19+U19+W19+Y19</f>
        <v>0</v>
      </c>
      <c r="AB19" s="203">
        <f>AA19/AA12</f>
        <v>0</v>
      </c>
      <c r="AC19" s="194">
        <f t="shared" si="16"/>
        <v>0</v>
      </c>
      <c r="AD19" s="203">
        <f>AC19/AC12</f>
        <v>0</v>
      </c>
      <c r="AE19" s="75"/>
      <c r="AF19" s="158"/>
      <c r="AG19" s="75"/>
      <c r="AH19" s="194">
        <v>0</v>
      </c>
      <c r="AI19" s="244">
        <f>AH19/AH12</f>
        <v>0</v>
      </c>
      <c r="AJ19" s="282">
        <f t="shared" si="3"/>
        <v>0</v>
      </c>
      <c r="AK19" s="53">
        <f t="shared" si="4"/>
        <v>0</v>
      </c>
      <c r="AL19" s="53">
        <f t="shared" si="19"/>
        <v>0</v>
      </c>
      <c r="AM19" s="53">
        <f t="shared" si="32"/>
        <v>0</v>
      </c>
      <c r="AN19" s="53" t="e">
        <f>#REF!-AM19</f>
        <v>#REF!</v>
      </c>
      <c r="AO19" s="53"/>
      <c r="AS19" s="53">
        <f t="shared" si="20"/>
        <v>0</v>
      </c>
    </row>
    <row r="20" spans="1:45">
      <c r="A20" s="3">
        <v>5505</v>
      </c>
      <c r="B20" s="112" t="s">
        <v>53</v>
      </c>
      <c r="C20" s="130"/>
      <c r="D20" s="70"/>
      <c r="E20" s="43"/>
      <c r="F20" s="70"/>
      <c r="G20" s="80"/>
      <c r="H20" s="70"/>
      <c r="I20" s="18"/>
      <c r="J20" s="70"/>
      <c r="K20" s="43"/>
      <c r="L20" s="70"/>
      <c r="M20" s="18"/>
      <c r="N20" s="70"/>
      <c r="O20" s="18"/>
      <c r="P20" s="70"/>
      <c r="Q20" s="18"/>
      <c r="R20" s="70"/>
      <c r="S20" s="18"/>
      <c r="T20" s="70"/>
      <c r="U20" s="43"/>
      <c r="V20" s="70"/>
      <c r="W20" s="33"/>
      <c r="X20" s="70"/>
      <c r="Y20" s="43"/>
      <c r="AA20" s="275">
        <f>C20+E20+G20+I20+K20+M20+O20+Q20+S20+U20+W20+Y20</f>
        <v>0</v>
      </c>
      <c r="AB20" s="202"/>
      <c r="AC20" s="194">
        <f t="shared" si="16"/>
        <v>0</v>
      </c>
      <c r="AD20" s="202"/>
      <c r="AE20" s="75"/>
      <c r="AF20" s="158"/>
      <c r="AG20" s="75"/>
      <c r="AH20" s="194">
        <v>0</v>
      </c>
      <c r="AI20" s="243"/>
      <c r="AJ20" s="282">
        <f t="shared" si="3"/>
        <v>0</v>
      </c>
      <c r="AK20" s="53">
        <f t="shared" si="4"/>
        <v>0</v>
      </c>
      <c r="AL20" s="53">
        <f t="shared" si="19"/>
        <v>0</v>
      </c>
      <c r="AM20" s="53">
        <f t="shared" si="32"/>
        <v>0</v>
      </c>
      <c r="AN20" s="53" t="e">
        <f>#REF!-AM20</f>
        <v>#REF!</v>
      </c>
      <c r="AO20" s="53"/>
      <c r="AS20" s="53">
        <f t="shared" si="20"/>
        <v>0</v>
      </c>
    </row>
    <row r="21" spans="1:45" ht="15.75" thickBot="1">
      <c r="A21" s="7">
        <v>5599</v>
      </c>
      <c r="B21" s="119" t="s">
        <v>94</v>
      </c>
      <c r="C21" s="27">
        <f>SUM(C17:C20)</f>
        <v>73928.197199999995</v>
      </c>
      <c r="D21" s="68">
        <f>C21/C12</f>
        <v>0.51259999999999994</v>
      </c>
      <c r="E21" s="55">
        <f>SUM(E17:E20)</f>
        <v>51973.332771254638</v>
      </c>
      <c r="F21" s="68">
        <f>E21/E12</f>
        <v>0.4632</v>
      </c>
      <c r="G21" s="82">
        <f>SUM(G17:G20)</f>
        <v>92112.300826464634</v>
      </c>
      <c r="H21" s="68">
        <f>G21/G12</f>
        <v>0.49490000000000001</v>
      </c>
      <c r="I21" s="20">
        <f>SUM(I17:I20)</f>
        <v>77686.160392999998</v>
      </c>
      <c r="J21" s="68">
        <f>I21/I12</f>
        <v>0.47270000000000001</v>
      </c>
      <c r="K21" s="55">
        <f>SUM(K17:K20)</f>
        <v>65385.191861258252</v>
      </c>
      <c r="L21" s="68">
        <f>K21/K12</f>
        <v>0.435</v>
      </c>
      <c r="M21" s="20">
        <f>SUM(M17:M20)</f>
        <v>110341.85839700002</v>
      </c>
      <c r="N21" s="68">
        <f>M21/M12</f>
        <v>0.51770000000000005</v>
      </c>
      <c r="O21" s="20">
        <f>SUM(O17:O20)</f>
        <v>58901.440309950012</v>
      </c>
      <c r="P21" s="68">
        <f>O21/O12</f>
        <v>0.4365</v>
      </c>
      <c r="Q21" s="20">
        <f>SUM(Q17:Q20)</f>
        <v>77781.647520013634</v>
      </c>
      <c r="R21" s="68">
        <f>Q21/Q12</f>
        <v>0.4642</v>
      </c>
      <c r="S21" s="20">
        <f>SUM(S17:S20)</f>
        <v>83233.856306944203</v>
      </c>
      <c r="T21" s="68">
        <f>S21/S12</f>
        <v>0.49310000000000004</v>
      </c>
      <c r="U21" s="55">
        <f>SUM(U17:U20)</f>
        <v>65432.518001978948</v>
      </c>
      <c r="V21" s="68">
        <f>U21/U12</f>
        <v>0.48869999999999997</v>
      </c>
      <c r="W21" s="34">
        <f>SUM(W17:W20)</f>
        <v>62173.653783520851</v>
      </c>
      <c r="X21" s="68">
        <f>W21/W12</f>
        <v>0.45640000000000003</v>
      </c>
      <c r="Y21" s="55">
        <f>SUM(Y17:Y20)</f>
        <v>106559.09706552322</v>
      </c>
      <c r="Z21" s="212">
        <f>Y21/Y12</f>
        <v>0.51780000000000004</v>
      </c>
      <c r="AA21" s="200">
        <f>SUM(AA17:AA20)</f>
        <v>925509.25443690841</v>
      </c>
      <c r="AB21" s="234">
        <f>AA21/AA12</f>
        <v>0.48265138851883144</v>
      </c>
      <c r="AC21" s="199">
        <f t="shared" si="16"/>
        <v>77125.771203075696</v>
      </c>
      <c r="AD21" s="234">
        <f>AC21/AC12</f>
        <v>0.48265138851883138</v>
      </c>
      <c r="AE21" s="75"/>
      <c r="AF21" s="158"/>
      <c r="AG21" s="75"/>
      <c r="AH21" s="199">
        <f>SUM(AH17:AH20)</f>
        <v>402615.07500000001</v>
      </c>
      <c r="AI21" s="248">
        <f>AH21/AH12</f>
        <v>0.5</v>
      </c>
      <c r="AJ21" s="286">
        <f t="shared" si="3"/>
        <v>1405250.100639984</v>
      </c>
      <c r="AK21" s="53">
        <f t="shared" si="4"/>
        <v>0</v>
      </c>
      <c r="AL21" s="53">
        <f t="shared" si="19"/>
        <v>925509.25443690841</v>
      </c>
      <c r="AM21" s="53">
        <f t="shared" si="32"/>
        <v>7516312.6099771457</v>
      </c>
      <c r="AN21" s="53" t="e">
        <f>#REF!-AM21</f>
        <v>#REF!</v>
      </c>
      <c r="AO21" s="53"/>
      <c r="AS21" s="53">
        <f t="shared" si="20"/>
        <v>731147.48668812821</v>
      </c>
    </row>
    <row r="22" spans="1:45" ht="15.75" thickTop="1">
      <c r="A22" s="97">
        <v>5601</v>
      </c>
      <c r="B22" s="3" t="s">
        <v>54</v>
      </c>
      <c r="C22" s="18"/>
      <c r="D22" s="49">
        <f>C22/C12</f>
        <v>0</v>
      </c>
      <c r="E22" s="18"/>
      <c r="F22" s="49">
        <f>E22/E12</f>
        <v>0</v>
      </c>
      <c r="G22" s="18"/>
      <c r="H22" s="49">
        <f>G22/G12</f>
        <v>0</v>
      </c>
      <c r="I22" s="18"/>
      <c r="J22" s="49">
        <f>I22/I12</f>
        <v>0</v>
      </c>
      <c r="K22" s="18"/>
      <c r="L22" s="49">
        <f>K22/K12</f>
        <v>0</v>
      </c>
      <c r="M22" s="18"/>
      <c r="N22" s="49">
        <f>M22/M12</f>
        <v>0</v>
      </c>
      <c r="O22" s="18"/>
      <c r="P22" s="49">
        <f>O22/O12</f>
        <v>0</v>
      </c>
      <c r="Q22" s="18"/>
      <c r="R22" s="49">
        <f>Q22/Q12</f>
        <v>0</v>
      </c>
      <c r="S22" s="18"/>
      <c r="T22" s="49">
        <f>S22/S12</f>
        <v>0</v>
      </c>
      <c r="U22" s="18"/>
      <c r="V22" s="49">
        <f>U22/U12</f>
        <v>0</v>
      </c>
      <c r="W22" s="18"/>
      <c r="X22" s="49">
        <f>W22/W12</f>
        <v>0</v>
      </c>
      <c r="Y22" s="18"/>
      <c r="Z22" s="168">
        <f>Y22/Y12</f>
        <v>0</v>
      </c>
      <c r="AA22" s="275">
        <f t="shared" ref="AA22:AA34" si="33">C22+E22+G22+I22+K22+M22+O22+Q22+S22+U22+W22+Y22</f>
        <v>0</v>
      </c>
      <c r="AB22" s="203">
        <f>AA22/AA12</f>
        <v>0</v>
      </c>
      <c r="AC22" s="204">
        <f t="shared" si="16"/>
        <v>0</v>
      </c>
      <c r="AD22" s="203">
        <f>AC22/AC12</f>
        <v>0</v>
      </c>
      <c r="AE22" s="75"/>
      <c r="AF22" s="158"/>
      <c r="AG22" s="75"/>
      <c r="AH22" s="204">
        <v>0</v>
      </c>
      <c r="AI22" s="244">
        <f>AH22/AH12</f>
        <v>0</v>
      </c>
      <c r="AJ22" s="282">
        <f t="shared" si="3"/>
        <v>0</v>
      </c>
      <c r="AK22" s="53">
        <f t="shared" si="4"/>
        <v>0</v>
      </c>
      <c r="AL22" s="53">
        <f t="shared" si="19"/>
        <v>0</v>
      </c>
      <c r="AM22" s="53">
        <f t="shared" si="32"/>
        <v>0</v>
      </c>
      <c r="AN22" s="53" t="e">
        <f>#REF!-AM22</f>
        <v>#REF!</v>
      </c>
      <c r="AO22" s="53"/>
      <c r="AS22" s="53">
        <f t="shared" si="20"/>
        <v>0</v>
      </c>
    </row>
    <row r="23" spans="1:45">
      <c r="A23" s="3">
        <v>5602</v>
      </c>
      <c r="B23" s="3" t="s">
        <v>55</v>
      </c>
      <c r="C23" s="18"/>
      <c r="D23" s="49">
        <f>C23/C12</f>
        <v>0</v>
      </c>
      <c r="E23" s="18"/>
      <c r="F23" s="49">
        <f>E23/E12</f>
        <v>0</v>
      </c>
      <c r="G23" s="18"/>
      <c r="H23" s="49">
        <f>G23/G12</f>
        <v>0</v>
      </c>
      <c r="I23" s="18"/>
      <c r="J23" s="49">
        <f>I23/I12</f>
        <v>0</v>
      </c>
      <c r="K23" s="18"/>
      <c r="L23" s="49">
        <f>K23/K12</f>
        <v>0</v>
      </c>
      <c r="M23" s="18"/>
      <c r="N23" s="49">
        <f>M23/M12</f>
        <v>0</v>
      </c>
      <c r="O23" s="18"/>
      <c r="P23" s="49">
        <f>O23/O12</f>
        <v>0</v>
      </c>
      <c r="Q23" s="18"/>
      <c r="R23" s="49">
        <f>Q23/Q12</f>
        <v>0</v>
      </c>
      <c r="S23" s="18"/>
      <c r="T23" s="49">
        <f>S23/S12</f>
        <v>0</v>
      </c>
      <c r="U23" s="18"/>
      <c r="V23" s="49">
        <f>U23/U12</f>
        <v>0</v>
      </c>
      <c r="W23" s="18"/>
      <c r="X23" s="49">
        <f>W23/W12</f>
        <v>0</v>
      </c>
      <c r="Y23" s="18"/>
      <c r="Z23" s="168">
        <f>Y23/Y12</f>
        <v>0</v>
      </c>
      <c r="AA23" s="275">
        <f t="shared" si="33"/>
        <v>0</v>
      </c>
      <c r="AB23" s="203">
        <f>AA23/AA12</f>
        <v>0</v>
      </c>
      <c r="AC23" s="204">
        <f t="shared" si="16"/>
        <v>0</v>
      </c>
      <c r="AD23" s="203">
        <f>AC23/AC12</f>
        <v>0</v>
      </c>
      <c r="AE23" s="75"/>
      <c r="AF23" s="158"/>
      <c r="AG23" s="75"/>
      <c r="AH23" s="204">
        <v>0</v>
      </c>
      <c r="AI23" s="244">
        <f>AH23/AH12</f>
        <v>0</v>
      </c>
      <c r="AJ23" s="282">
        <f t="shared" si="3"/>
        <v>0</v>
      </c>
      <c r="AK23" s="53">
        <f t="shared" si="4"/>
        <v>0</v>
      </c>
      <c r="AL23" s="53">
        <f t="shared" si="19"/>
        <v>0</v>
      </c>
      <c r="AM23" s="53">
        <f t="shared" si="32"/>
        <v>0</v>
      </c>
      <c r="AN23" s="53" t="e">
        <f>#REF!-AM23</f>
        <v>#REF!</v>
      </c>
      <c r="AO23" s="53"/>
      <c r="AS23" s="53">
        <f t="shared" si="20"/>
        <v>0</v>
      </c>
    </row>
    <row r="24" spans="1:45">
      <c r="A24" s="3">
        <v>5603</v>
      </c>
      <c r="B24" s="3" t="s">
        <v>56</v>
      </c>
      <c r="C24" s="18"/>
      <c r="D24" s="49">
        <f>C24/C12</f>
        <v>0</v>
      </c>
      <c r="E24" s="18"/>
      <c r="F24" s="49">
        <f>E24/E12</f>
        <v>0</v>
      </c>
      <c r="G24" s="18"/>
      <c r="H24" s="49">
        <f>G24/G12</f>
        <v>0</v>
      </c>
      <c r="I24" s="18"/>
      <c r="J24" s="49">
        <f>I24/I12</f>
        <v>0</v>
      </c>
      <c r="K24" s="18"/>
      <c r="L24" s="49">
        <f>K24/K12</f>
        <v>0</v>
      </c>
      <c r="M24" s="18"/>
      <c r="N24" s="49">
        <f>M24/M12</f>
        <v>0</v>
      </c>
      <c r="O24" s="18"/>
      <c r="P24" s="49">
        <f>O24/O12</f>
        <v>0</v>
      </c>
      <c r="Q24" s="18"/>
      <c r="R24" s="49">
        <f>Q24/Q12</f>
        <v>0</v>
      </c>
      <c r="S24" s="18"/>
      <c r="T24" s="49">
        <f>S24/S12</f>
        <v>0</v>
      </c>
      <c r="U24" s="18"/>
      <c r="V24" s="49">
        <f>U24/U12</f>
        <v>0</v>
      </c>
      <c r="W24" s="18"/>
      <c r="X24" s="49">
        <f>W24/W12</f>
        <v>0</v>
      </c>
      <c r="Y24" s="18"/>
      <c r="Z24" s="168">
        <f>Y24/Y12</f>
        <v>0</v>
      </c>
      <c r="AA24" s="275">
        <f t="shared" si="33"/>
        <v>0</v>
      </c>
      <c r="AB24" s="203">
        <f>AA24/AA12</f>
        <v>0</v>
      </c>
      <c r="AC24" s="204">
        <f t="shared" si="16"/>
        <v>0</v>
      </c>
      <c r="AD24" s="203">
        <f>AC24/AC12</f>
        <v>0</v>
      </c>
      <c r="AE24" s="75"/>
      <c r="AF24" s="158"/>
      <c r="AG24" s="75"/>
      <c r="AH24" s="204">
        <v>0</v>
      </c>
      <c r="AI24" s="244">
        <f>AH24/AH12</f>
        <v>0</v>
      </c>
      <c r="AJ24" s="282">
        <f t="shared" si="3"/>
        <v>0</v>
      </c>
      <c r="AK24" s="53">
        <f t="shared" si="4"/>
        <v>0</v>
      </c>
      <c r="AL24" s="53">
        <f t="shared" si="19"/>
        <v>0</v>
      </c>
      <c r="AM24" s="53">
        <f t="shared" si="32"/>
        <v>0</v>
      </c>
      <c r="AN24" s="53" t="e">
        <f>#REF!-AM24</f>
        <v>#REF!</v>
      </c>
      <c r="AO24" s="53"/>
      <c r="AS24" s="53">
        <f t="shared" si="20"/>
        <v>0</v>
      </c>
    </row>
    <row r="25" spans="1:45">
      <c r="A25" s="3">
        <v>5604</v>
      </c>
      <c r="B25" s="3" t="s">
        <v>57</v>
      </c>
      <c r="C25" s="540">
        <v>25</v>
      </c>
      <c r="D25" s="521">
        <f>C25/C12</f>
        <v>1.7334387264078988E-4</v>
      </c>
      <c r="E25" s="540">
        <v>25</v>
      </c>
      <c r="F25" s="521">
        <f>E25/E12</f>
        <v>2.2280656988009543E-4</v>
      </c>
      <c r="G25" s="540">
        <v>25</v>
      </c>
      <c r="H25" s="521">
        <f>G25/G12</f>
        <v>1.3431973676685403E-4</v>
      </c>
      <c r="I25" s="540">
        <v>25</v>
      </c>
      <c r="J25" s="521">
        <f>I25/I12</f>
        <v>1.5211847181296437E-4</v>
      </c>
      <c r="K25" s="540">
        <v>25</v>
      </c>
      <c r="L25" s="521">
        <f>K25/K12</f>
        <v>1.6632206299976626E-4</v>
      </c>
      <c r="M25" s="540">
        <v>25</v>
      </c>
      <c r="N25" s="521">
        <f>M25/M12</f>
        <v>1.1729456244459884E-4</v>
      </c>
      <c r="O25" s="540">
        <v>25</v>
      </c>
      <c r="P25" s="521">
        <f>O25/O12</f>
        <v>1.85267116433426E-4</v>
      </c>
      <c r="Q25" s="540">
        <v>25</v>
      </c>
      <c r="R25" s="521">
        <f>Q25/Q12</f>
        <v>1.4919971959984483E-4</v>
      </c>
      <c r="S25" s="540">
        <v>25</v>
      </c>
      <c r="T25" s="521">
        <f>S25/S12</f>
        <v>1.4810679868705685E-4</v>
      </c>
      <c r="U25" s="540">
        <v>25</v>
      </c>
      <c r="V25" s="521">
        <f>U25/U12</f>
        <v>1.8671908667232542E-4</v>
      </c>
      <c r="W25" s="540">
        <v>25</v>
      </c>
      <c r="X25" s="521">
        <f>W25/W12</f>
        <v>1.8351824777304991E-4</v>
      </c>
      <c r="Y25" s="540">
        <v>25</v>
      </c>
      <c r="Z25" s="168">
        <f>Y25/Y12</f>
        <v>1.2148188523069143E-4</v>
      </c>
      <c r="AA25" s="510">
        <f t="shared" si="33"/>
        <v>300</v>
      </c>
      <c r="AB25" s="203">
        <f>AA25/AA12</f>
        <v>1.5644945294873881E-4</v>
      </c>
      <c r="AC25" s="204">
        <f t="shared" si="16"/>
        <v>25</v>
      </c>
      <c r="AD25" s="203">
        <f>AC25/AC12</f>
        <v>1.5644945294873881E-4</v>
      </c>
      <c r="AE25" s="75"/>
      <c r="AF25" s="158"/>
      <c r="AG25" s="75"/>
      <c r="AH25" s="204">
        <v>600</v>
      </c>
      <c r="AI25" s="244">
        <f>AH25/AH12</f>
        <v>7.4512858218237356E-4</v>
      </c>
      <c r="AJ25" s="282">
        <f t="shared" si="3"/>
        <v>925</v>
      </c>
      <c r="AK25" s="53">
        <f t="shared" si="4"/>
        <v>0</v>
      </c>
      <c r="AL25" s="53">
        <f t="shared" si="19"/>
        <v>300</v>
      </c>
      <c r="AM25" s="53">
        <f t="shared" si="32"/>
        <v>2350</v>
      </c>
      <c r="AN25" s="53" t="e">
        <f>#REF!-AM25</f>
        <v>#REF!</v>
      </c>
      <c r="AO25" s="53" t="s">
        <v>205</v>
      </c>
      <c r="AS25" s="53">
        <f t="shared" si="20"/>
        <v>235</v>
      </c>
    </row>
    <row r="26" spans="1:45">
      <c r="A26" s="3">
        <v>5605</v>
      </c>
      <c r="B26" s="3" t="s">
        <v>15</v>
      </c>
      <c r="C26" s="540"/>
      <c r="D26" s="521">
        <f>C26/C12</f>
        <v>0</v>
      </c>
      <c r="E26" s="540"/>
      <c r="F26" s="521">
        <f>E26/E12</f>
        <v>0</v>
      </c>
      <c r="G26" s="540"/>
      <c r="H26" s="521">
        <f>G26/G12</f>
        <v>0</v>
      </c>
      <c r="I26" s="540"/>
      <c r="J26" s="521">
        <f>I26/I12</f>
        <v>0</v>
      </c>
      <c r="K26" s="540"/>
      <c r="L26" s="521">
        <f>K26/K12</f>
        <v>0</v>
      </c>
      <c r="M26" s="540"/>
      <c r="N26" s="521">
        <f>M26/M12</f>
        <v>0</v>
      </c>
      <c r="O26" s="540"/>
      <c r="P26" s="521">
        <f>O26/O12</f>
        <v>0</v>
      </c>
      <c r="Q26" s="540"/>
      <c r="R26" s="521">
        <f>Q26/Q12</f>
        <v>0</v>
      </c>
      <c r="S26" s="540"/>
      <c r="T26" s="521">
        <f>S26/S12</f>
        <v>0</v>
      </c>
      <c r="U26" s="540"/>
      <c r="V26" s="521">
        <f>U26/U12</f>
        <v>0</v>
      </c>
      <c r="W26" s="540"/>
      <c r="X26" s="521">
        <f>W26/W12</f>
        <v>0</v>
      </c>
      <c r="Y26" s="540"/>
      <c r="Z26" s="168">
        <f>Y26/Y12</f>
        <v>0</v>
      </c>
      <c r="AA26" s="510">
        <f t="shared" si="33"/>
        <v>0</v>
      </c>
      <c r="AB26" s="203">
        <f>AA26/AA12</f>
        <v>0</v>
      </c>
      <c r="AC26" s="204">
        <f t="shared" si="16"/>
        <v>0</v>
      </c>
      <c r="AD26" s="203">
        <f>AC26/AC12</f>
        <v>0</v>
      </c>
      <c r="AE26" s="75"/>
      <c r="AF26" s="158"/>
      <c r="AG26" s="75"/>
      <c r="AH26" s="204">
        <v>0</v>
      </c>
      <c r="AI26" s="244">
        <f>AH26/AH12</f>
        <v>0</v>
      </c>
      <c r="AJ26" s="282">
        <f t="shared" si="3"/>
        <v>0</v>
      </c>
      <c r="AK26" s="53">
        <f t="shared" si="4"/>
        <v>0</v>
      </c>
      <c r="AL26" s="53">
        <f t="shared" si="19"/>
        <v>0</v>
      </c>
      <c r="AM26" s="53">
        <f t="shared" si="32"/>
        <v>0</v>
      </c>
      <c r="AN26" s="53" t="e">
        <f>#REF!-AM26</f>
        <v>#REF!</v>
      </c>
      <c r="AO26" s="53"/>
      <c r="AS26" s="53">
        <f t="shared" si="20"/>
        <v>0</v>
      </c>
    </row>
    <row r="27" spans="1:45">
      <c r="A27" s="3">
        <v>5606</v>
      </c>
      <c r="B27" s="3" t="s">
        <v>77</v>
      </c>
      <c r="C27" s="540">
        <f>C16*0.34%</f>
        <v>490.35480000000001</v>
      </c>
      <c r="D27" s="521">
        <f>C27/C12</f>
        <v>3.4000000000000002E-3</v>
      </c>
      <c r="E27" s="540">
        <f>E16*0.34%</f>
        <v>381.49682949539243</v>
      </c>
      <c r="F27" s="521">
        <f>E27/E12</f>
        <v>3.4000000000000002E-3</v>
      </c>
      <c r="G27" s="540">
        <f>G16*0.34%</f>
        <v>632.81839323091492</v>
      </c>
      <c r="H27" s="521">
        <f>G27/G12</f>
        <v>3.4000000000000007E-3</v>
      </c>
      <c r="I27" s="540">
        <f>I16*0.34%</f>
        <v>558.77500600000008</v>
      </c>
      <c r="J27" s="521">
        <f>I27/I12</f>
        <v>3.4000000000000007E-3</v>
      </c>
      <c r="K27" s="540">
        <f>K16*0.34%</f>
        <v>511.05667201903009</v>
      </c>
      <c r="L27" s="521">
        <f>K27/K12</f>
        <v>3.4000000000000002E-3</v>
      </c>
      <c r="M27" s="540">
        <f>M16*0.34%</f>
        <v>724.67127400000015</v>
      </c>
      <c r="N27" s="521">
        <f>M27/M12</f>
        <v>3.4000000000000007E-3</v>
      </c>
      <c r="O27" s="540">
        <f>O16*0.34%</f>
        <v>458.79701501450188</v>
      </c>
      <c r="P27" s="521">
        <f>O27/O12</f>
        <v>3.4000000000000002E-3</v>
      </c>
      <c r="Q27" s="540">
        <f>Q16*0.34%</f>
        <v>569.70616451539502</v>
      </c>
      <c r="R27" s="521">
        <f>Q27/Q12</f>
        <v>3.4000000000000002E-3</v>
      </c>
      <c r="S27" s="540">
        <f>S16*0.34%</f>
        <v>573.91018341839435</v>
      </c>
      <c r="T27" s="521">
        <f>S27/S12</f>
        <v>3.3999999999999998E-3</v>
      </c>
      <c r="U27" s="540">
        <f>U16*0.34%</f>
        <v>455.2293046996694</v>
      </c>
      <c r="V27" s="521">
        <f>U27/U12</f>
        <v>3.4000000000000002E-3</v>
      </c>
      <c r="W27" s="540">
        <f>W16*0.34%</f>
        <v>463.16919996487923</v>
      </c>
      <c r="X27" s="521">
        <f>W27/W12</f>
        <v>3.4000000000000002E-3</v>
      </c>
      <c r="Y27" s="540">
        <f>Y16*0.34%</f>
        <v>699.69279649049633</v>
      </c>
      <c r="Z27" s="168">
        <f>Y27/Y12</f>
        <v>3.4000000000000002E-3</v>
      </c>
      <c r="AA27" s="510">
        <f t="shared" si="33"/>
        <v>6519.6776388486733</v>
      </c>
      <c r="AB27" s="203">
        <f>AA27/AA12</f>
        <v>3.3999999999999998E-3</v>
      </c>
      <c r="AC27" s="204">
        <f t="shared" si="16"/>
        <v>543.30646990405614</v>
      </c>
      <c r="AD27" s="203">
        <f>AC27/AC12</f>
        <v>3.4000000000000002E-3</v>
      </c>
      <c r="AE27" s="75" t="s">
        <v>134</v>
      </c>
      <c r="AF27" s="158">
        <v>-1689</v>
      </c>
      <c r="AG27" s="75" t="s">
        <v>135</v>
      </c>
      <c r="AH27" s="204">
        <f>AA27</f>
        <v>6519.6776388486733</v>
      </c>
      <c r="AI27" s="244">
        <f>AH27/AH12</f>
        <v>8.0966635922023952E-3</v>
      </c>
      <c r="AJ27" s="282">
        <f t="shared" si="3"/>
        <v>13582.661747601403</v>
      </c>
      <c r="AK27" s="53">
        <f t="shared" si="4"/>
        <v>0</v>
      </c>
      <c r="AL27" s="53">
        <f t="shared" si="19"/>
        <v>6519.6776388486733</v>
      </c>
      <c r="AM27" s="53">
        <f t="shared" si="32"/>
        <v>53089.564487920848</v>
      </c>
      <c r="AN27" s="53" t="e">
        <f>#REF!-AM27</f>
        <v>#REF!</v>
      </c>
      <c r="AO27" s="53" t="s">
        <v>206</v>
      </c>
      <c r="AQ27" s="305">
        <v>1005.56</v>
      </c>
      <c r="AS27" s="53">
        <f t="shared" si="20"/>
        <v>5355.2379464447131</v>
      </c>
    </row>
    <row r="28" spans="1:45">
      <c r="A28" s="3">
        <v>5607</v>
      </c>
      <c r="B28" s="112" t="s">
        <v>58</v>
      </c>
      <c r="C28" s="130"/>
      <c r="D28" s="49">
        <f>C28/C12</f>
        <v>0</v>
      </c>
      <c r="E28" s="43"/>
      <c r="F28" s="49">
        <f>E28/E12</f>
        <v>0</v>
      </c>
      <c r="G28" s="80"/>
      <c r="H28" s="49">
        <f>G28/G12</f>
        <v>0</v>
      </c>
      <c r="I28" s="18"/>
      <c r="J28" s="49">
        <f>I28/I12</f>
        <v>0</v>
      </c>
      <c r="K28" s="43"/>
      <c r="L28" s="49">
        <f>K28/K12</f>
        <v>0</v>
      </c>
      <c r="M28" s="18"/>
      <c r="N28" s="49">
        <f>M28/M12</f>
        <v>0</v>
      </c>
      <c r="O28" s="18"/>
      <c r="P28" s="49">
        <f>O28/O12</f>
        <v>0</v>
      </c>
      <c r="Q28" s="18"/>
      <c r="R28" s="49">
        <f>Q28/Q12</f>
        <v>0</v>
      </c>
      <c r="S28" s="18"/>
      <c r="T28" s="49">
        <f>S28/S12</f>
        <v>0</v>
      </c>
      <c r="U28" s="43"/>
      <c r="V28" s="49">
        <f>U28/U12</f>
        <v>0</v>
      </c>
      <c r="W28" s="33"/>
      <c r="X28" s="49">
        <f>W28/W12</f>
        <v>0</v>
      </c>
      <c r="Y28" s="43"/>
      <c r="Z28" s="168">
        <f>Y28/Y12</f>
        <v>0</v>
      </c>
      <c r="AA28" s="275">
        <f t="shared" si="33"/>
        <v>0</v>
      </c>
      <c r="AB28" s="203">
        <f>AA28/AA12</f>
        <v>0</v>
      </c>
      <c r="AC28" s="194">
        <f t="shared" si="16"/>
        <v>0</v>
      </c>
      <c r="AD28" s="203">
        <f>AC28/AC12</f>
        <v>0</v>
      </c>
      <c r="AE28" s="75"/>
      <c r="AF28" s="158"/>
      <c r="AG28" s="75"/>
      <c r="AH28" s="194">
        <v>0</v>
      </c>
      <c r="AI28" s="244">
        <f>AH28/AH12</f>
        <v>0</v>
      </c>
      <c r="AJ28" s="282">
        <f t="shared" si="3"/>
        <v>0</v>
      </c>
      <c r="AK28" s="53">
        <f t="shared" si="4"/>
        <v>0</v>
      </c>
      <c r="AL28" s="53">
        <f t="shared" si="19"/>
        <v>0</v>
      </c>
      <c r="AM28" s="53">
        <f t="shared" si="32"/>
        <v>0</v>
      </c>
      <c r="AN28" s="53" t="e">
        <f>#REF!-AM28</f>
        <v>#REF!</v>
      </c>
      <c r="AO28" s="53"/>
      <c r="AS28" s="53">
        <f t="shared" si="20"/>
        <v>0</v>
      </c>
    </row>
    <row r="29" spans="1:45">
      <c r="A29" s="3">
        <v>5608</v>
      </c>
      <c r="B29" s="112" t="s">
        <v>59</v>
      </c>
      <c r="C29" s="130"/>
      <c r="D29" s="49">
        <f>C29/C12</f>
        <v>0</v>
      </c>
      <c r="E29" s="43"/>
      <c r="F29" s="49">
        <f>E29/E12</f>
        <v>0</v>
      </c>
      <c r="G29" s="80"/>
      <c r="H29" s="49">
        <f>G29/G12</f>
        <v>0</v>
      </c>
      <c r="I29" s="18"/>
      <c r="J29" s="49">
        <f>I29/I12</f>
        <v>0</v>
      </c>
      <c r="K29" s="43"/>
      <c r="L29" s="49">
        <f>K29/K12</f>
        <v>0</v>
      </c>
      <c r="M29" s="18"/>
      <c r="N29" s="49">
        <f>M29/M12</f>
        <v>0</v>
      </c>
      <c r="O29" s="18"/>
      <c r="P29" s="49">
        <f>O29/O12</f>
        <v>0</v>
      </c>
      <c r="Q29" s="18"/>
      <c r="R29" s="49">
        <f>Q29/Q12</f>
        <v>0</v>
      </c>
      <c r="S29" s="18"/>
      <c r="T29" s="49">
        <f>S29/S12</f>
        <v>0</v>
      </c>
      <c r="U29" s="43"/>
      <c r="V29" s="49">
        <f>U29/U12</f>
        <v>0</v>
      </c>
      <c r="W29" s="33"/>
      <c r="X29" s="49">
        <f>W29/W12</f>
        <v>0</v>
      </c>
      <c r="Y29" s="43"/>
      <c r="Z29" s="168">
        <f>Y29/Y12</f>
        <v>0</v>
      </c>
      <c r="AA29" s="275">
        <f t="shared" si="33"/>
        <v>0</v>
      </c>
      <c r="AB29" s="203">
        <f>AA29/AA12</f>
        <v>0</v>
      </c>
      <c r="AC29" s="194">
        <f t="shared" si="16"/>
        <v>0</v>
      </c>
      <c r="AD29" s="203">
        <f>AC29/AC12</f>
        <v>0</v>
      </c>
      <c r="AE29" s="75"/>
      <c r="AF29" s="158"/>
      <c r="AG29" s="75"/>
      <c r="AH29" s="194">
        <v>0</v>
      </c>
      <c r="AI29" s="244">
        <f>AH29/AH12</f>
        <v>0</v>
      </c>
      <c r="AJ29" s="282">
        <f t="shared" si="3"/>
        <v>0</v>
      </c>
      <c r="AK29" s="53">
        <f t="shared" si="4"/>
        <v>0</v>
      </c>
      <c r="AL29" s="53">
        <f t="shared" si="19"/>
        <v>0</v>
      </c>
      <c r="AM29" s="53">
        <f t="shared" si="32"/>
        <v>0</v>
      </c>
      <c r="AN29" s="53" t="e">
        <f>#REF!-AM29</f>
        <v>#REF!</v>
      </c>
      <c r="AO29" s="53"/>
      <c r="AS29" s="53">
        <f t="shared" si="20"/>
        <v>0</v>
      </c>
    </row>
    <row r="30" spans="1:45">
      <c r="A30" s="3">
        <v>5609</v>
      </c>
      <c r="B30" s="112" t="s">
        <v>60</v>
      </c>
      <c r="C30" s="130"/>
      <c r="D30" s="49">
        <f>C30/C12</f>
        <v>0</v>
      </c>
      <c r="E30" s="43"/>
      <c r="F30" s="49">
        <f>E30/E12</f>
        <v>0</v>
      </c>
      <c r="G30" s="80"/>
      <c r="H30" s="49">
        <f>G30/G12</f>
        <v>0</v>
      </c>
      <c r="I30" s="18"/>
      <c r="J30" s="49">
        <f>I30/I12</f>
        <v>0</v>
      </c>
      <c r="K30" s="43"/>
      <c r="L30" s="49">
        <f>K30/K12</f>
        <v>0</v>
      </c>
      <c r="M30" s="18"/>
      <c r="N30" s="49">
        <f>M30/M12</f>
        <v>0</v>
      </c>
      <c r="O30" s="18"/>
      <c r="P30" s="49">
        <f>O30/O12</f>
        <v>0</v>
      </c>
      <c r="Q30" s="18"/>
      <c r="R30" s="49">
        <f>Q30/Q12</f>
        <v>0</v>
      </c>
      <c r="S30" s="18"/>
      <c r="T30" s="49">
        <f>S30/S12</f>
        <v>0</v>
      </c>
      <c r="U30" s="43"/>
      <c r="V30" s="49">
        <f>U30/U12</f>
        <v>0</v>
      </c>
      <c r="W30" s="33"/>
      <c r="X30" s="49">
        <f>W30/W12</f>
        <v>0</v>
      </c>
      <c r="Y30" s="43"/>
      <c r="Z30" s="168">
        <f>Y30/Y12</f>
        <v>0</v>
      </c>
      <c r="AA30" s="275">
        <f t="shared" si="33"/>
        <v>0</v>
      </c>
      <c r="AB30" s="203">
        <f>AA30/AA12</f>
        <v>0</v>
      </c>
      <c r="AC30" s="194">
        <f t="shared" si="16"/>
        <v>0</v>
      </c>
      <c r="AD30" s="203">
        <f>AC30/AC12</f>
        <v>0</v>
      </c>
      <c r="AE30" s="75"/>
      <c r="AF30" s="158"/>
      <c r="AG30" s="75"/>
      <c r="AH30" s="194">
        <v>0</v>
      </c>
      <c r="AI30" s="244">
        <f>AH30/AH12</f>
        <v>0</v>
      </c>
      <c r="AJ30" s="282">
        <f t="shared" si="3"/>
        <v>0</v>
      </c>
      <c r="AK30" s="53">
        <f t="shared" si="4"/>
        <v>0</v>
      </c>
      <c r="AL30" s="53">
        <f t="shared" si="19"/>
        <v>0</v>
      </c>
      <c r="AM30" s="53">
        <f t="shared" si="32"/>
        <v>0</v>
      </c>
      <c r="AN30" s="53" t="e">
        <f>#REF!-AM30</f>
        <v>#REF!</v>
      </c>
      <c r="AO30" s="53"/>
      <c r="AS30" s="53">
        <f t="shared" si="20"/>
        <v>0</v>
      </c>
    </row>
    <row r="31" spans="1:45">
      <c r="A31" s="3">
        <v>5610</v>
      </c>
      <c r="B31" s="112" t="s">
        <v>61</v>
      </c>
      <c r="C31" s="130"/>
      <c r="D31" s="49">
        <f>C31/C12</f>
        <v>0</v>
      </c>
      <c r="E31" s="43"/>
      <c r="F31" s="49">
        <f>E31/E12</f>
        <v>0</v>
      </c>
      <c r="G31" s="80"/>
      <c r="H31" s="49">
        <f>G31/G12</f>
        <v>0</v>
      </c>
      <c r="I31" s="18"/>
      <c r="J31" s="49">
        <f>I31/I12</f>
        <v>0</v>
      </c>
      <c r="K31" s="43"/>
      <c r="L31" s="49">
        <f>K31/K12</f>
        <v>0</v>
      </c>
      <c r="M31" s="18"/>
      <c r="N31" s="49">
        <f>M31/M12</f>
        <v>0</v>
      </c>
      <c r="O31" s="18"/>
      <c r="P31" s="49">
        <f>O31/O12</f>
        <v>0</v>
      </c>
      <c r="Q31" s="18"/>
      <c r="R31" s="49">
        <f>Q31/Q12</f>
        <v>0</v>
      </c>
      <c r="S31" s="18"/>
      <c r="T31" s="49">
        <f>S31/S12</f>
        <v>0</v>
      </c>
      <c r="U31" s="43"/>
      <c r="V31" s="49">
        <f>U31/U12</f>
        <v>0</v>
      </c>
      <c r="W31" s="33"/>
      <c r="X31" s="49">
        <f>W31/W12</f>
        <v>0</v>
      </c>
      <c r="Y31" s="43"/>
      <c r="Z31" s="168">
        <f>Y31/Y12</f>
        <v>0</v>
      </c>
      <c r="AA31" s="275">
        <f t="shared" si="33"/>
        <v>0</v>
      </c>
      <c r="AB31" s="203">
        <f>AA31/AA12</f>
        <v>0</v>
      </c>
      <c r="AC31" s="194">
        <f t="shared" si="16"/>
        <v>0</v>
      </c>
      <c r="AD31" s="203">
        <f>AC31/AC12</f>
        <v>0</v>
      </c>
      <c r="AE31" s="75"/>
      <c r="AF31" s="158"/>
      <c r="AG31" s="75"/>
      <c r="AH31" s="194">
        <v>0</v>
      </c>
      <c r="AI31" s="244">
        <f>AH31/AH12</f>
        <v>0</v>
      </c>
      <c r="AJ31" s="282">
        <f t="shared" si="3"/>
        <v>0</v>
      </c>
      <c r="AK31" s="53">
        <f t="shared" si="4"/>
        <v>0</v>
      </c>
      <c r="AL31" s="53">
        <f t="shared" si="19"/>
        <v>0</v>
      </c>
      <c r="AM31" s="53">
        <f t="shared" si="32"/>
        <v>0</v>
      </c>
      <c r="AN31" s="53" t="e">
        <f>#REF!-AM31</f>
        <v>#REF!</v>
      </c>
      <c r="AO31" s="53"/>
      <c r="AS31" s="53">
        <f t="shared" si="20"/>
        <v>0</v>
      </c>
    </row>
    <row r="32" spans="1:45">
      <c r="A32" s="3">
        <v>5611</v>
      </c>
      <c r="B32" s="112" t="s">
        <v>95</v>
      </c>
      <c r="C32" s="130"/>
      <c r="D32" s="49">
        <f>C32/C12</f>
        <v>0</v>
      </c>
      <c r="E32" s="43"/>
      <c r="F32" s="49">
        <f>E32/E12</f>
        <v>0</v>
      </c>
      <c r="G32" s="80"/>
      <c r="H32" s="49">
        <f>G32/G12</f>
        <v>0</v>
      </c>
      <c r="I32" s="18"/>
      <c r="J32" s="49">
        <f>I32/I12</f>
        <v>0</v>
      </c>
      <c r="K32" s="43"/>
      <c r="L32" s="49">
        <f>K32/K12</f>
        <v>0</v>
      </c>
      <c r="M32" s="18"/>
      <c r="N32" s="49">
        <f>M32/M12</f>
        <v>0</v>
      </c>
      <c r="O32" s="18"/>
      <c r="P32" s="49">
        <f>O32/O12</f>
        <v>0</v>
      </c>
      <c r="Q32" s="18"/>
      <c r="R32" s="49">
        <f>Q32/Q12</f>
        <v>0</v>
      </c>
      <c r="S32" s="18"/>
      <c r="T32" s="49">
        <f>S32/S12</f>
        <v>0</v>
      </c>
      <c r="U32" s="43"/>
      <c r="V32" s="49">
        <f>U32/U12</f>
        <v>0</v>
      </c>
      <c r="W32" s="33"/>
      <c r="X32" s="49">
        <f>W32/W12</f>
        <v>0</v>
      </c>
      <c r="Y32" s="43"/>
      <c r="Z32" s="168">
        <f>Y32/Y12</f>
        <v>0</v>
      </c>
      <c r="AA32" s="275">
        <f t="shared" si="33"/>
        <v>0</v>
      </c>
      <c r="AB32" s="203">
        <f>AA32/AA12</f>
        <v>0</v>
      </c>
      <c r="AC32" s="194">
        <f t="shared" si="16"/>
        <v>0</v>
      </c>
      <c r="AD32" s="203">
        <f>AC32/AC12</f>
        <v>0</v>
      </c>
      <c r="AE32" s="75"/>
      <c r="AF32" s="158"/>
      <c r="AG32" s="75"/>
      <c r="AH32" s="194">
        <v>0</v>
      </c>
      <c r="AI32" s="244">
        <f>AH32/AH12</f>
        <v>0</v>
      </c>
      <c r="AJ32" s="282">
        <f t="shared" si="3"/>
        <v>0</v>
      </c>
      <c r="AK32" s="53">
        <f t="shared" si="4"/>
        <v>0</v>
      </c>
      <c r="AL32" s="53">
        <f t="shared" si="19"/>
        <v>0</v>
      </c>
      <c r="AM32" s="53">
        <f t="shared" si="32"/>
        <v>0</v>
      </c>
      <c r="AN32" s="53" t="e">
        <f>#REF!-AM32</f>
        <v>#REF!</v>
      </c>
      <c r="AO32" s="53"/>
      <c r="AS32" s="53">
        <f t="shared" si="20"/>
        <v>0</v>
      </c>
    </row>
    <row r="33" spans="1:48">
      <c r="A33" s="3">
        <v>5612</v>
      </c>
      <c r="B33" s="112" t="s">
        <v>220</v>
      </c>
      <c r="C33" s="130"/>
      <c r="D33" s="49">
        <f>C33/C12</f>
        <v>0</v>
      </c>
      <c r="E33" s="43"/>
      <c r="F33" s="49">
        <f>E33/E12</f>
        <v>0</v>
      </c>
      <c r="G33" s="80"/>
      <c r="H33" s="49">
        <f>G33/G12</f>
        <v>0</v>
      </c>
      <c r="I33" s="18"/>
      <c r="J33" s="49">
        <f>I33/I12</f>
        <v>0</v>
      </c>
      <c r="K33" s="43"/>
      <c r="L33" s="49">
        <f>K33/K12</f>
        <v>0</v>
      </c>
      <c r="M33" s="18"/>
      <c r="N33" s="49">
        <f>M33/M12</f>
        <v>0</v>
      </c>
      <c r="O33" s="18"/>
      <c r="P33" s="49">
        <f>O33/O12</f>
        <v>0</v>
      </c>
      <c r="Q33" s="18"/>
      <c r="R33" s="49">
        <f>Q33/Q12</f>
        <v>0</v>
      </c>
      <c r="S33" s="18"/>
      <c r="T33" s="49">
        <f>S33/S12</f>
        <v>0</v>
      </c>
      <c r="U33" s="43"/>
      <c r="V33" s="49">
        <f>U33/U12</f>
        <v>0</v>
      </c>
      <c r="W33" s="33"/>
      <c r="X33" s="49">
        <f>W33/W12</f>
        <v>0</v>
      </c>
      <c r="Y33" s="43"/>
      <c r="Z33" s="168">
        <f>Y33/Y12</f>
        <v>0</v>
      </c>
      <c r="AA33" s="275">
        <f t="shared" si="33"/>
        <v>0</v>
      </c>
      <c r="AB33" s="203">
        <f>AA33/AA12</f>
        <v>0</v>
      </c>
      <c r="AC33" s="194">
        <f t="shared" si="16"/>
        <v>0</v>
      </c>
      <c r="AD33" s="203">
        <f>AC33/AC12</f>
        <v>0</v>
      </c>
      <c r="AE33" s="75"/>
      <c r="AF33" s="158"/>
      <c r="AG33" s="75"/>
      <c r="AH33" s="194">
        <v>0</v>
      </c>
      <c r="AI33" s="244">
        <f>AH33/AH12</f>
        <v>0</v>
      </c>
      <c r="AJ33" s="282">
        <f t="shared" si="3"/>
        <v>0</v>
      </c>
      <c r="AK33" s="53">
        <f t="shared" si="4"/>
        <v>0</v>
      </c>
      <c r="AL33" s="53">
        <f t="shared" si="19"/>
        <v>0</v>
      </c>
      <c r="AM33" s="53">
        <f t="shared" si="32"/>
        <v>0</v>
      </c>
      <c r="AN33" s="53" t="e">
        <f>#REF!-AM33</f>
        <v>#REF!</v>
      </c>
      <c r="AO33" s="53"/>
      <c r="AS33" s="53">
        <f t="shared" si="20"/>
        <v>0</v>
      </c>
    </row>
    <row r="34" spans="1:48">
      <c r="A34" s="3">
        <v>5613</v>
      </c>
      <c r="B34" s="112" t="s">
        <v>63</v>
      </c>
      <c r="C34" s="130"/>
      <c r="D34" s="49">
        <f>C34/C12</f>
        <v>0</v>
      </c>
      <c r="E34" s="43"/>
      <c r="F34" s="49">
        <f>E34/E12</f>
        <v>0</v>
      </c>
      <c r="G34" s="80"/>
      <c r="H34" s="49">
        <f>G34/G12</f>
        <v>0</v>
      </c>
      <c r="I34" s="18"/>
      <c r="J34" s="49">
        <f>I34/I12</f>
        <v>0</v>
      </c>
      <c r="K34" s="43"/>
      <c r="L34" s="49">
        <f>K34/K12</f>
        <v>0</v>
      </c>
      <c r="M34" s="18"/>
      <c r="N34" s="49">
        <f>M34/M12</f>
        <v>0</v>
      </c>
      <c r="O34" s="18"/>
      <c r="P34" s="49">
        <f>O34/O12</f>
        <v>0</v>
      </c>
      <c r="Q34" s="18"/>
      <c r="R34" s="49">
        <f>Q34/Q12</f>
        <v>0</v>
      </c>
      <c r="S34" s="18"/>
      <c r="T34" s="49">
        <f>S34/S12</f>
        <v>0</v>
      </c>
      <c r="U34" s="43"/>
      <c r="V34" s="49">
        <f>U34/U12</f>
        <v>0</v>
      </c>
      <c r="W34" s="33"/>
      <c r="X34" s="49">
        <f>W34/W12</f>
        <v>0</v>
      </c>
      <c r="Y34" s="43"/>
      <c r="Z34" s="168">
        <f>Y34/Y12</f>
        <v>0</v>
      </c>
      <c r="AA34" s="275">
        <f t="shared" si="33"/>
        <v>0</v>
      </c>
      <c r="AB34" s="203">
        <f>AA34/AA12</f>
        <v>0</v>
      </c>
      <c r="AC34" s="194">
        <f t="shared" si="16"/>
        <v>0</v>
      </c>
      <c r="AD34" s="203">
        <f>AC34/AC12</f>
        <v>0</v>
      </c>
      <c r="AE34" s="75"/>
      <c r="AF34" s="158"/>
      <c r="AG34" s="75"/>
      <c r="AH34" s="194">
        <v>0</v>
      </c>
      <c r="AI34" s="244">
        <f>AH34/AH12</f>
        <v>0</v>
      </c>
      <c r="AJ34" s="282">
        <f t="shared" si="3"/>
        <v>0</v>
      </c>
      <c r="AK34" s="53">
        <f t="shared" si="4"/>
        <v>0</v>
      </c>
      <c r="AL34" s="53">
        <f t="shared" si="19"/>
        <v>0</v>
      </c>
      <c r="AM34" s="53">
        <f t="shared" si="32"/>
        <v>0</v>
      </c>
      <c r="AN34" s="53" t="e">
        <f>#REF!-AM34</f>
        <v>#REF!</v>
      </c>
      <c r="AO34" s="53"/>
      <c r="AS34" s="53">
        <f t="shared" si="20"/>
        <v>0</v>
      </c>
    </row>
    <row r="35" spans="1:48">
      <c r="A35" s="8">
        <v>5699</v>
      </c>
      <c r="B35" s="113" t="s">
        <v>96</v>
      </c>
      <c r="C35" s="29">
        <f>SUM(C22:C34)</f>
        <v>515.35480000000007</v>
      </c>
      <c r="D35" s="66">
        <f>C35/C12</f>
        <v>3.5733438726407904E-3</v>
      </c>
      <c r="E35" s="58">
        <f>SUM(E22:E34)</f>
        <v>406.49682949539243</v>
      </c>
      <c r="F35" s="66">
        <f>E35/E12</f>
        <v>3.6228065698800955E-3</v>
      </c>
      <c r="G35" s="85">
        <f>SUM(G22:G34)</f>
        <v>657.81839323091492</v>
      </c>
      <c r="H35" s="66">
        <f>G35/G12</f>
        <v>3.5343197367668543E-3</v>
      </c>
      <c r="I35" s="21">
        <f>SUM(I22:I34)</f>
        <v>583.77500600000008</v>
      </c>
      <c r="J35" s="66">
        <f>I35/I12</f>
        <v>3.5521184718129649E-3</v>
      </c>
      <c r="K35" s="58">
        <f>SUM(K22:K34)</f>
        <v>536.05667201903009</v>
      </c>
      <c r="L35" s="66">
        <f>K35/K12</f>
        <v>3.5663220629997667E-3</v>
      </c>
      <c r="M35" s="21">
        <f>SUM(M22:M34)</f>
        <v>749.67127400000015</v>
      </c>
      <c r="N35" s="66">
        <f>M35/M12</f>
        <v>3.5172945624445994E-3</v>
      </c>
      <c r="O35" s="21">
        <f>SUM(O22:O34)</f>
        <v>483.79701501450188</v>
      </c>
      <c r="P35" s="66">
        <f>O35/O12</f>
        <v>3.5852671164334263E-3</v>
      </c>
      <c r="Q35" s="21">
        <f>SUM(Q22:Q34)</f>
        <v>594.70616451539502</v>
      </c>
      <c r="R35" s="66">
        <f>Q35/Q12</f>
        <v>3.5491997195998453E-3</v>
      </c>
      <c r="S35" s="21">
        <f>SUM(S22:S34)</f>
        <v>598.91018341839435</v>
      </c>
      <c r="T35" s="66">
        <f>S35/S12</f>
        <v>3.5481067986870567E-3</v>
      </c>
      <c r="U35" s="58">
        <f>SUM(U22:U34)</f>
        <v>480.2293046996694</v>
      </c>
      <c r="V35" s="66">
        <f>U35/U12</f>
        <v>3.5867190866723255E-3</v>
      </c>
      <c r="W35" s="40">
        <f>SUM(W22:W34)</f>
        <v>488.16919996487923</v>
      </c>
      <c r="X35" s="66">
        <f>W35/W12</f>
        <v>3.5835182477730499E-3</v>
      </c>
      <c r="Y35" s="58">
        <f>SUM(Y22:Y34)</f>
        <v>724.69279649049633</v>
      </c>
      <c r="Z35" s="213">
        <f>Y35/Y12</f>
        <v>3.5214818852306921E-3</v>
      </c>
      <c r="AA35" s="200">
        <f>SUM(AA22:AA34)</f>
        <v>6819.6776388486733</v>
      </c>
      <c r="AB35" s="234">
        <f>AA35/AA12</f>
        <v>3.5564494529487386E-3</v>
      </c>
      <c r="AC35" s="235">
        <f t="shared" si="16"/>
        <v>568.30646990405614</v>
      </c>
      <c r="AD35" s="234">
        <f>AC35/AC12</f>
        <v>3.556449452948739E-3</v>
      </c>
      <c r="AE35" s="75"/>
      <c r="AF35" s="158"/>
      <c r="AG35" s="75"/>
      <c r="AH35" s="235">
        <f>SUM(AH22:AH34)</f>
        <v>7119.6776388486733</v>
      </c>
      <c r="AI35" s="248">
        <f>AH35/AH12</f>
        <v>8.8417921743847681E-3</v>
      </c>
      <c r="AJ35" s="286">
        <f t="shared" si="3"/>
        <v>14507.661747601403</v>
      </c>
      <c r="AK35" s="53">
        <f t="shared" si="4"/>
        <v>0</v>
      </c>
      <c r="AL35" s="53">
        <f t="shared" si="19"/>
        <v>6819.6776388486733</v>
      </c>
      <c r="AM35" s="53">
        <f t="shared" si="32"/>
        <v>55439.564487920848</v>
      </c>
      <c r="AN35" s="53" t="e">
        <f>#REF!-AM35</f>
        <v>#REF!</v>
      </c>
      <c r="AO35" s="53"/>
      <c r="AS35" s="53">
        <f t="shared" si="20"/>
        <v>5590.2379464447131</v>
      </c>
    </row>
    <row r="36" spans="1:48">
      <c r="A36" s="8">
        <v>5999</v>
      </c>
      <c r="B36" s="113" t="s">
        <v>97</v>
      </c>
      <c r="C36" s="29">
        <f>C21+C35</f>
        <v>74443.551999999996</v>
      </c>
      <c r="D36" s="66">
        <f>C36/C12</f>
        <v>0.5161733438726408</v>
      </c>
      <c r="E36" s="58">
        <f>E21+E35</f>
        <v>52379.829600750032</v>
      </c>
      <c r="F36" s="66">
        <f>E36/E12</f>
        <v>0.46682280656988012</v>
      </c>
      <c r="G36" s="85">
        <f>G21+G35</f>
        <v>92770.119219695553</v>
      </c>
      <c r="H36" s="66">
        <f>G36/G12</f>
        <v>0.49843431973676688</v>
      </c>
      <c r="I36" s="21">
        <f>I21+I35</f>
        <v>78269.935398999995</v>
      </c>
      <c r="J36" s="66">
        <f>I36/I12</f>
        <v>0.47625211847181292</v>
      </c>
      <c r="K36" s="58">
        <f>K21+K35</f>
        <v>65921.248533277278</v>
      </c>
      <c r="L36" s="66">
        <f>K36/K12</f>
        <v>0.43856632206299972</v>
      </c>
      <c r="M36" s="21">
        <f>M21+M35</f>
        <v>111091.52967100001</v>
      </c>
      <c r="N36" s="66">
        <f>M36/M12</f>
        <v>0.52121729456244459</v>
      </c>
      <c r="O36" s="21">
        <f>O21+O35</f>
        <v>59385.237324964517</v>
      </c>
      <c r="P36" s="66">
        <f>O36/O12</f>
        <v>0.44008526711643342</v>
      </c>
      <c r="Q36" s="21">
        <f>Q21+Q35</f>
        <v>78376.353684529022</v>
      </c>
      <c r="R36" s="66">
        <f>Q36/Q12</f>
        <v>0.46774919971959983</v>
      </c>
      <c r="S36" s="21">
        <f>S21+S35</f>
        <v>83832.766490362599</v>
      </c>
      <c r="T36" s="66">
        <f>S36/S12</f>
        <v>0.49664810679868715</v>
      </c>
      <c r="U36" s="58">
        <f>U21+U35</f>
        <v>65912.747306678619</v>
      </c>
      <c r="V36" s="66">
        <f>U36/U12</f>
        <v>0.49228671908667232</v>
      </c>
      <c r="W36" s="40">
        <f>W21+W35</f>
        <v>62661.822983485734</v>
      </c>
      <c r="X36" s="66">
        <f>W36/W12</f>
        <v>0.45998351824777312</v>
      </c>
      <c r="Y36" s="58">
        <f>Y21+Y35</f>
        <v>107283.78986201371</v>
      </c>
      <c r="Z36" s="213">
        <f>Y36/Y12</f>
        <v>0.52132148188523064</v>
      </c>
      <c r="AA36" s="200">
        <f>AA21+AA35</f>
        <v>932328.93207575707</v>
      </c>
      <c r="AB36" s="234">
        <f>AA36/AA12</f>
        <v>0.48620783797178013</v>
      </c>
      <c r="AC36" s="235">
        <f t="shared" si="16"/>
        <v>77694.077672979751</v>
      </c>
      <c r="AD36" s="234">
        <f>AC36/AC12</f>
        <v>0.48620783797178013</v>
      </c>
      <c r="AE36" s="75"/>
      <c r="AF36" s="158"/>
      <c r="AG36" s="75"/>
      <c r="AH36" s="235">
        <f>AH35+AH21</f>
        <v>409734.75263884867</v>
      </c>
      <c r="AI36" s="248">
        <f>AH36/AH12</f>
        <v>0.50884179217438474</v>
      </c>
      <c r="AJ36" s="286">
        <f t="shared" si="3"/>
        <v>1419757.7623875856</v>
      </c>
      <c r="AK36" s="53">
        <f t="shared" si="4"/>
        <v>0</v>
      </c>
      <c r="AL36" s="53">
        <f t="shared" si="19"/>
        <v>932328.9320757573</v>
      </c>
      <c r="AM36" s="53">
        <f t="shared" si="32"/>
        <v>7571752.1744650649</v>
      </c>
      <c r="AN36" s="53" t="e">
        <f>#REF!-AM36</f>
        <v>#REF!</v>
      </c>
      <c r="AO36" s="53"/>
      <c r="AS36" s="53">
        <f t="shared" si="20"/>
        <v>736737.72463457286</v>
      </c>
    </row>
    <row r="37" spans="1:48" ht="15.75" thickBot="1">
      <c r="A37" s="9"/>
      <c r="B37" s="114" t="s">
        <v>69</v>
      </c>
      <c r="C37" s="28">
        <f>(C16-C36)</f>
        <v>69778.448000000004</v>
      </c>
      <c r="D37" s="67">
        <f>C37/C12</f>
        <v>0.48382665612735926</v>
      </c>
      <c r="E37" s="59">
        <f>(E16-E36)</f>
        <v>59825.120250835971</v>
      </c>
      <c r="F37" s="67">
        <f>E37/E12</f>
        <v>0.53317719343011982</v>
      </c>
      <c r="G37" s="86">
        <f>(G16-G36)</f>
        <v>93352.937612926456</v>
      </c>
      <c r="H37" s="67">
        <f>G37/G12</f>
        <v>0.50156568026323312</v>
      </c>
      <c r="I37" s="22">
        <f>(I16-I36)</f>
        <v>86075.654601000002</v>
      </c>
      <c r="J37" s="67">
        <f>I37/I12</f>
        <v>0.52374788152818708</v>
      </c>
      <c r="K37" s="59">
        <f>(K16-K36)</f>
        <v>84389.537354672735</v>
      </c>
      <c r="L37" s="67">
        <f>K37/K12</f>
        <v>0.56143367793700028</v>
      </c>
      <c r="M37" s="22">
        <f>(M16-M36)</f>
        <v>102047.080329</v>
      </c>
      <c r="N37" s="67">
        <f>M37/M12</f>
        <v>0.47878270543755541</v>
      </c>
      <c r="O37" s="22">
        <f>(O16-O36)</f>
        <v>75555.06120871249</v>
      </c>
      <c r="P37" s="67">
        <f>O37/O12</f>
        <v>0.55991473288356652</v>
      </c>
      <c r="Q37" s="22">
        <f>(Q16-Q36)</f>
        <v>89184.28293764597</v>
      </c>
      <c r="R37" s="67">
        <f>Q37/Q12</f>
        <v>0.53225080028040017</v>
      </c>
      <c r="S37" s="22">
        <f>(S16-S36)</f>
        <v>84964.346279753387</v>
      </c>
      <c r="T37" s="67">
        <f>S37/S12</f>
        <v>0.50335189320131291</v>
      </c>
      <c r="U37" s="59">
        <f>(U16-U36)</f>
        <v>67978.224663812376</v>
      </c>
      <c r="V37" s="67">
        <f>U37/U12</f>
        <v>0.50771328091332768</v>
      </c>
      <c r="W37" s="41">
        <f>(W16-W36)</f>
        <v>73564.412300302269</v>
      </c>
      <c r="X37" s="67">
        <f>W37/W12</f>
        <v>0.54001648175222683</v>
      </c>
      <c r="Y37" s="59">
        <f>(Y16-Y36)</f>
        <v>98508.2091057793</v>
      </c>
      <c r="Z37" s="214">
        <f>Y37/Y12</f>
        <v>0.47867851811476936</v>
      </c>
      <c r="AA37" s="277">
        <f>(AA16-AA36)</f>
        <v>985223.31464444101</v>
      </c>
      <c r="AB37" s="236">
        <f>AA37/AA12</f>
        <v>0.51379216202821987</v>
      </c>
      <c r="AC37" s="232">
        <f t="shared" si="16"/>
        <v>82101.942887036756</v>
      </c>
      <c r="AD37" s="236">
        <f>AC37/AC12</f>
        <v>0.51379216202821987</v>
      </c>
      <c r="AE37" s="75"/>
      <c r="AF37" s="158"/>
      <c r="AG37" s="75"/>
      <c r="AH37" s="232">
        <f>(AH16-AH36)</f>
        <v>395495.39736115135</v>
      </c>
      <c r="AI37" s="249">
        <f>AH37/AH12</f>
        <v>0.49115820782561526</v>
      </c>
      <c r="AJ37" s="287">
        <f t="shared" si="3"/>
        <v>1462820.6548926292</v>
      </c>
      <c r="AK37" s="53">
        <f t="shared" si="4"/>
        <v>0</v>
      </c>
      <c r="AL37" s="53">
        <f t="shared" si="19"/>
        <v>985223.31464444101</v>
      </c>
      <c r="AM37" s="53">
        <f t="shared" si="32"/>
        <v>8042825.6160998875</v>
      </c>
      <c r="AN37" s="53" t="e">
        <f>#REF!-AM37</f>
        <v>#REF!</v>
      </c>
      <c r="AO37" s="53"/>
      <c r="AS37" s="53">
        <f t="shared" si="20"/>
        <v>838332.25961387216</v>
      </c>
    </row>
    <row r="38" spans="1:48" ht="15.75" thickTop="1">
      <c r="A38" s="2">
        <v>6002</v>
      </c>
      <c r="B38" s="108" t="s">
        <v>46</v>
      </c>
      <c r="C38" s="130"/>
      <c r="D38" s="49">
        <f>C38/C12</f>
        <v>0</v>
      </c>
      <c r="E38" s="43"/>
      <c r="F38" s="49">
        <f>E38/E12</f>
        <v>0</v>
      </c>
      <c r="G38" s="80"/>
      <c r="H38" s="49">
        <f>G38/G12</f>
        <v>0</v>
      </c>
      <c r="I38" s="18"/>
      <c r="J38" s="49">
        <f>I38/I12</f>
        <v>0</v>
      </c>
      <c r="K38" s="43"/>
      <c r="L38" s="49">
        <f>K38/K12</f>
        <v>0</v>
      </c>
      <c r="M38" s="18"/>
      <c r="N38" s="49">
        <f>M38/M12</f>
        <v>0</v>
      </c>
      <c r="O38" s="18"/>
      <c r="P38" s="49">
        <f>O38/O12</f>
        <v>0</v>
      </c>
      <c r="Q38" s="18"/>
      <c r="R38" s="49">
        <f>Q38/Q12</f>
        <v>0</v>
      </c>
      <c r="S38" s="18"/>
      <c r="T38" s="49">
        <f>S38/S12</f>
        <v>0</v>
      </c>
      <c r="U38" s="43"/>
      <c r="V38" s="49">
        <f>U38/U12</f>
        <v>0</v>
      </c>
      <c r="W38" s="33"/>
      <c r="X38" s="49">
        <f>W38/W12</f>
        <v>0</v>
      </c>
      <c r="Y38" s="43"/>
      <c r="Z38" s="168">
        <f>Y38/Y12</f>
        <v>0</v>
      </c>
      <c r="AA38" s="275">
        <f>C38+E38+G38+I38+K38+M38+O38+Q38+S38+U38+W38+Y38</f>
        <v>0</v>
      </c>
      <c r="AB38" s="203">
        <f>AA38/AA12</f>
        <v>0</v>
      </c>
      <c r="AC38" s="194">
        <f t="shared" si="16"/>
        <v>0</v>
      </c>
      <c r="AD38" s="203">
        <f>AC38/AC12</f>
        <v>0</v>
      </c>
      <c r="AE38" s="75"/>
      <c r="AF38" s="158"/>
      <c r="AG38" s="75"/>
      <c r="AH38" s="194">
        <v>0</v>
      </c>
      <c r="AI38" s="244">
        <f>AH38/AH12</f>
        <v>0</v>
      </c>
      <c r="AJ38" s="282">
        <f t="shared" si="3"/>
        <v>0</v>
      </c>
      <c r="AK38" s="53">
        <f t="shared" si="4"/>
        <v>0</v>
      </c>
      <c r="AL38" s="53">
        <f t="shared" si="19"/>
        <v>0</v>
      </c>
      <c r="AM38" s="53">
        <f t="shared" si="32"/>
        <v>0</v>
      </c>
      <c r="AN38" s="53" t="e">
        <f>#REF!-AM38</f>
        <v>#REF!</v>
      </c>
      <c r="AO38" s="53"/>
      <c r="AS38" s="53">
        <f t="shared" si="20"/>
        <v>0</v>
      </c>
    </row>
    <row r="39" spans="1:48">
      <c r="A39" s="2">
        <v>6003</v>
      </c>
      <c r="B39" s="2" t="s">
        <v>0</v>
      </c>
      <c r="C39" s="18"/>
      <c r="D39" s="49">
        <f>C39/C12</f>
        <v>0</v>
      </c>
      <c r="E39" s="18"/>
      <c r="F39" s="49">
        <f>E39/E12</f>
        <v>0</v>
      </c>
      <c r="G39" s="18">
        <v>0</v>
      </c>
      <c r="H39" s="49">
        <f>G39/G12</f>
        <v>0</v>
      </c>
      <c r="I39" s="18"/>
      <c r="J39" s="49">
        <f>I39/I12</f>
        <v>0</v>
      </c>
      <c r="K39" s="18">
        <v>0</v>
      </c>
      <c r="L39" s="49">
        <f>K39/K12</f>
        <v>0</v>
      </c>
      <c r="M39" s="18"/>
      <c r="N39" s="49">
        <f>M39/M12</f>
        <v>0</v>
      </c>
      <c r="O39" s="18"/>
      <c r="P39" s="49">
        <f>O39/O12</f>
        <v>0</v>
      </c>
      <c r="Q39" s="18"/>
      <c r="R39" s="49">
        <f>Q39/Q12</f>
        <v>0</v>
      </c>
      <c r="S39" s="18">
        <v>0</v>
      </c>
      <c r="T39" s="49">
        <f>S39/S12</f>
        <v>0</v>
      </c>
      <c r="U39" s="18"/>
      <c r="V39" s="49">
        <f>U39/U12</f>
        <v>0</v>
      </c>
      <c r="W39" s="18">
        <v>0</v>
      </c>
      <c r="X39" s="49">
        <f>W39/W12</f>
        <v>0</v>
      </c>
      <c r="Y39" s="18">
        <v>0</v>
      </c>
      <c r="Z39" s="168">
        <f>Y39/Y12</f>
        <v>0</v>
      </c>
      <c r="AA39" s="275">
        <f>C39+E39+G39+I39+K39+M39+O39+Q39+S39+U39+W39+Y39</f>
        <v>0</v>
      </c>
      <c r="AB39" s="203">
        <f>AA39/AA12</f>
        <v>0</v>
      </c>
      <c r="AC39" s="194">
        <f t="shared" si="16"/>
        <v>0</v>
      </c>
      <c r="AD39" s="203">
        <f>AC39/AC12</f>
        <v>0</v>
      </c>
      <c r="AE39" s="75"/>
      <c r="AF39" s="158"/>
      <c r="AG39" s="75"/>
      <c r="AH39" s="194">
        <v>0</v>
      </c>
      <c r="AI39" s="244">
        <f>AH39/AH12</f>
        <v>0</v>
      </c>
      <c r="AJ39" s="282">
        <f t="shared" si="3"/>
        <v>0</v>
      </c>
      <c r="AK39" s="53">
        <f t="shared" si="4"/>
        <v>0</v>
      </c>
      <c r="AL39" s="53">
        <f t="shared" si="19"/>
        <v>0</v>
      </c>
      <c r="AM39" s="53">
        <f t="shared" si="32"/>
        <v>0</v>
      </c>
      <c r="AN39" s="53" t="e">
        <f>#REF!-AM39</f>
        <v>#REF!</v>
      </c>
      <c r="AO39" s="53"/>
      <c r="AS39" s="53">
        <f t="shared" si="20"/>
        <v>0</v>
      </c>
    </row>
    <row r="40" spans="1:48">
      <c r="A40" s="2">
        <v>6004</v>
      </c>
      <c r="B40" s="108" t="s">
        <v>1</v>
      </c>
      <c r="C40" s="130"/>
      <c r="D40" s="49">
        <f>C40/C12</f>
        <v>0</v>
      </c>
      <c r="E40" s="43"/>
      <c r="F40" s="49">
        <f>E40/E12</f>
        <v>0</v>
      </c>
      <c r="G40" s="80"/>
      <c r="H40" s="49">
        <f>G40/G12</f>
        <v>0</v>
      </c>
      <c r="I40" s="18"/>
      <c r="J40" s="49">
        <f>I40/I12</f>
        <v>0</v>
      </c>
      <c r="K40" s="43"/>
      <c r="L40" s="49">
        <f>K40/K12</f>
        <v>0</v>
      </c>
      <c r="M40" s="18"/>
      <c r="N40" s="49">
        <f>M40/M12</f>
        <v>0</v>
      </c>
      <c r="O40" s="18"/>
      <c r="P40" s="49">
        <f>O40/O12</f>
        <v>0</v>
      </c>
      <c r="Q40" s="18"/>
      <c r="R40" s="49">
        <f>Q40/Q12</f>
        <v>0</v>
      </c>
      <c r="S40" s="18"/>
      <c r="T40" s="49">
        <f>S40/S12</f>
        <v>0</v>
      </c>
      <c r="U40" s="43"/>
      <c r="V40" s="49">
        <f>U40/U12</f>
        <v>0</v>
      </c>
      <c r="W40" s="33"/>
      <c r="X40" s="49">
        <f>W40/W12</f>
        <v>0</v>
      </c>
      <c r="Y40" s="43"/>
      <c r="Z40" s="168">
        <f>Y40/Y12</f>
        <v>0</v>
      </c>
      <c r="AA40" s="275">
        <f>C40+E40+G40+I40+K40+M40+O40+Q40+S40+U40+W40+Y40</f>
        <v>0</v>
      </c>
      <c r="AB40" s="203">
        <f>AA40/AA12</f>
        <v>0</v>
      </c>
      <c r="AC40" s="194">
        <f t="shared" si="16"/>
        <v>0</v>
      </c>
      <c r="AD40" s="203">
        <f>AC40/AC12</f>
        <v>0</v>
      </c>
      <c r="AE40" s="75"/>
      <c r="AF40" s="158"/>
      <c r="AG40" s="75"/>
      <c r="AH40" s="194">
        <v>0</v>
      </c>
      <c r="AI40" s="244">
        <f>AH40/AH12</f>
        <v>0</v>
      </c>
      <c r="AJ40" s="282">
        <f t="shared" si="3"/>
        <v>0</v>
      </c>
      <c r="AK40" s="53">
        <f t="shared" si="4"/>
        <v>0</v>
      </c>
      <c r="AL40" s="53">
        <f t="shared" si="19"/>
        <v>0</v>
      </c>
      <c r="AM40" s="53">
        <f t="shared" si="32"/>
        <v>0</v>
      </c>
      <c r="AN40" s="53" t="e">
        <f>#REF!-AM40</f>
        <v>#REF!</v>
      </c>
      <c r="AO40" s="53"/>
      <c r="AS40" s="53">
        <f t="shared" si="20"/>
        <v>0</v>
      </c>
    </row>
    <row r="41" spans="1:48" ht="15.75" thickBot="1">
      <c r="A41" s="4">
        <v>6099</v>
      </c>
      <c r="B41" s="109" t="s">
        <v>98</v>
      </c>
      <c r="C41" s="27">
        <f>SUM(C38:C40)</f>
        <v>0</v>
      </c>
      <c r="D41" s="68">
        <f>C41/C12</f>
        <v>0</v>
      </c>
      <c r="E41" s="55">
        <f>SUM(E38:E40)</f>
        <v>0</v>
      </c>
      <c r="F41" s="68">
        <f>E41/E12</f>
        <v>0</v>
      </c>
      <c r="G41" s="82">
        <f>SUM(G38:G40)</f>
        <v>0</v>
      </c>
      <c r="H41" s="68">
        <f>G41/G12</f>
        <v>0</v>
      </c>
      <c r="I41" s="20">
        <f>SUM(I38:I40)</f>
        <v>0</v>
      </c>
      <c r="J41" s="68">
        <f>I41/I12</f>
        <v>0</v>
      </c>
      <c r="K41" s="55">
        <f>SUM(K38:K40)</f>
        <v>0</v>
      </c>
      <c r="L41" s="68">
        <f>K41/K12</f>
        <v>0</v>
      </c>
      <c r="M41" s="20">
        <f>SUM(M38:M40)</f>
        <v>0</v>
      </c>
      <c r="N41" s="68">
        <f>M41/M12</f>
        <v>0</v>
      </c>
      <c r="O41" s="20">
        <f>SUM(O38:O40)</f>
        <v>0</v>
      </c>
      <c r="P41" s="68">
        <f>O41/O12</f>
        <v>0</v>
      </c>
      <c r="Q41" s="20">
        <f>SUM(Q38:Q40)</f>
        <v>0</v>
      </c>
      <c r="R41" s="68">
        <f>Q41/Q12</f>
        <v>0</v>
      </c>
      <c r="S41" s="20">
        <f>SUM(S38:S40)</f>
        <v>0</v>
      </c>
      <c r="T41" s="68">
        <f>S41/S12</f>
        <v>0</v>
      </c>
      <c r="U41" s="55">
        <f>SUM(U38:U40)</f>
        <v>0</v>
      </c>
      <c r="V41" s="68">
        <f>U41/U12</f>
        <v>0</v>
      </c>
      <c r="W41" s="34">
        <f>SUM(W38:W40)</f>
        <v>0</v>
      </c>
      <c r="X41" s="68">
        <f>W41/W12</f>
        <v>0</v>
      </c>
      <c r="Y41" s="55">
        <f>SUM(Y38:Y40)</f>
        <v>0</v>
      </c>
      <c r="Z41" s="212">
        <f>Y41/Y12</f>
        <v>0</v>
      </c>
      <c r="AA41" s="276">
        <f>SUM(AA38:AA40)</f>
        <v>0</v>
      </c>
      <c r="AB41" s="234">
        <f>AA41/AA12</f>
        <v>0</v>
      </c>
      <c r="AC41" s="199">
        <f t="shared" si="16"/>
        <v>0</v>
      </c>
      <c r="AD41" s="234">
        <f>AC41/AC12</f>
        <v>0</v>
      </c>
      <c r="AE41" s="75"/>
      <c r="AF41" s="158"/>
      <c r="AG41" s="75"/>
      <c r="AH41" s="199">
        <v>0</v>
      </c>
      <c r="AI41" s="248">
        <f>AH41/AH12</f>
        <v>0</v>
      </c>
      <c r="AJ41" s="282">
        <f t="shared" si="3"/>
        <v>0</v>
      </c>
      <c r="AK41" s="53">
        <f t="shared" si="4"/>
        <v>0</v>
      </c>
      <c r="AL41" s="53">
        <f t="shared" si="19"/>
        <v>0</v>
      </c>
      <c r="AM41" s="53">
        <f t="shared" si="32"/>
        <v>0</v>
      </c>
      <c r="AN41" s="53" t="e">
        <f>#REF!-AM41</f>
        <v>#REF!</v>
      </c>
      <c r="AO41" s="53"/>
      <c r="AS41" s="53">
        <f t="shared" si="20"/>
        <v>0</v>
      </c>
    </row>
    <row r="42" spans="1:48" ht="15.75" thickTop="1">
      <c r="A42" s="98">
        <v>6101</v>
      </c>
      <c r="B42" s="107" t="s">
        <v>2</v>
      </c>
      <c r="C42" s="524">
        <v>17167.580000000002</v>
      </c>
      <c r="D42" s="49">
        <f>C42/C12</f>
        <v>0.11903579204282289</v>
      </c>
      <c r="E42" s="524">
        <v>17167.580000000002</v>
      </c>
      <c r="F42" s="49">
        <f>E42/E12</f>
        <v>0.15300198451768515</v>
      </c>
      <c r="G42" s="524">
        <v>17167.580000000002</v>
      </c>
      <c r="H42" s="49">
        <f>G42/G12</f>
        <v>9.2237793060956322E-2</v>
      </c>
      <c r="I42" s="524">
        <v>17167.583333333332</v>
      </c>
      <c r="J42" s="49">
        <f>I42/I12</f>
        <v>0.10446026165553535</v>
      </c>
      <c r="K42" s="524">
        <v>17167.580000000002</v>
      </c>
      <c r="L42" s="49">
        <f>K42/K12</f>
        <v>0.11421389289254111</v>
      </c>
      <c r="M42" s="524">
        <v>17167.580000000002</v>
      </c>
      <c r="N42" s="516">
        <f>M42/M12</f>
        <v>8.0546551373305852E-2</v>
      </c>
      <c r="O42" s="524">
        <v>18067.666666666668</v>
      </c>
      <c r="P42" s="49">
        <f>O42/O12</f>
        <v>0.13389378016054654</v>
      </c>
      <c r="Q42" s="524">
        <v>18067.666666666668</v>
      </c>
      <c r="R42" s="49">
        <f>Q42/Q12</f>
        <v>0.1078276320196052</v>
      </c>
      <c r="S42" s="524">
        <v>18067.666666666668</v>
      </c>
      <c r="T42" s="49">
        <f>S42/S12</f>
        <v>0.1070377707897939</v>
      </c>
      <c r="U42" s="524">
        <v>18067.666666666668</v>
      </c>
      <c r="V42" s="49">
        <f>U42/U12</f>
        <v>0.13494312873200073</v>
      </c>
      <c r="W42" s="524">
        <v>18067.666666666668</v>
      </c>
      <c r="X42" s="49">
        <f>W42/W12</f>
        <v>0.13262986112056832</v>
      </c>
      <c r="Y42" s="524">
        <v>18067.666666666668</v>
      </c>
      <c r="Z42" s="168">
        <f>Y42/Y12</f>
        <v>8.7795768335455576E-2</v>
      </c>
      <c r="AA42" s="275">
        <f t="shared" ref="AA42:AA75" si="34">C42+E42+G42+I42+K42+M42+O42+Q42+S42+U42+W42+Y42</f>
        <v>211411.48333333331</v>
      </c>
      <c r="AB42" s="203">
        <f>AA42/AA12</f>
        <v>0.11025070304860468</v>
      </c>
      <c r="AC42" s="194">
        <f t="shared" si="16"/>
        <v>17617.62361111111</v>
      </c>
      <c r="AD42" s="203">
        <f>AC42/AC12</f>
        <v>0.1102507030486047</v>
      </c>
      <c r="AE42" s="75"/>
      <c r="AF42" s="158"/>
      <c r="AG42" s="75"/>
      <c r="AH42" s="194">
        <v>90000</v>
      </c>
      <c r="AI42" s="244">
        <f>AH42/AH12</f>
        <v>0.11176928732735603</v>
      </c>
      <c r="AJ42" s="282">
        <f t="shared" si="3"/>
        <v>319029.10694444441</v>
      </c>
      <c r="AK42" s="53">
        <f t="shared" si="4"/>
        <v>0</v>
      </c>
      <c r="AL42" s="53">
        <f t="shared" si="19"/>
        <v>211411.48333333331</v>
      </c>
      <c r="AM42" s="53">
        <f t="shared" si="32"/>
        <v>1664517.4393333334</v>
      </c>
      <c r="AN42" s="53" t="e">
        <f>#REF!-AM42</f>
        <v>#REF!</v>
      </c>
      <c r="AO42" s="53" t="s">
        <v>210</v>
      </c>
      <c r="AS42" s="53">
        <f t="shared" si="20"/>
        <v>169836.06666666668</v>
      </c>
      <c r="AT42" s="539" t="s">
        <v>281</v>
      </c>
    </row>
    <row r="43" spans="1:48">
      <c r="A43" s="98">
        <v>6102</v>
      </c>
      <c r="B43" s="107" t="s">
        <v>3</v>
      </c>
      <c r="C43" s="543">
        <v>1200</v>
      </c>
      <c r="D43" s="49">
        <f>C43/C12</f>
        <v>8.3205058867579142E-3</v>
      </c>
      <c r="E43" s="543">
        <v>1200</v>
      </c>
      <c r="F43" s="49">
        <f>E43/E12</f>
        <v>1.069471535424458E-2</v>
      </c>
      <c r="G43" s="543">
        <v>1200</v>
      </c>
      <c r="H43" s="49">
        <f>G43/G12</f>
        <v>6.4473473648089929E-3</v>
      </c>
      <c r="I43" s="543">
        <v>1200</v>
      </c>
      <c r="J43" s="49">
        <f>I43/I12</f>
        <v>7.3016866470222899E-3</v>
      </c>
      <c r="K43" s="543">
        <v>1200</v>
      </c>
      <c r="L43" s="49">
        <f>K43/K12</f>
        <v>7.9834590239887815E-3</v>
      </c>
      <c r="M43" s="543">
        <v>1200</v>
      </c>
      <c r="N43" s="516">
        <f>M43/M12</f>
        <v>5.6301389973407445E-3</v>
      </c>
      <c r="O43" s="543">
        <v>1200</v>
      </c>
      <c r="P43" s="49">
        <f>O43/O12</f>
        <v>8.8928215888044466E-3</v>
      </c>
      <c r="Q43" s="543">
        <v>1200</v>
      </c>
      <c r="R43" s="49">
        <f>Q43/Q12</f>
        <v>7.1615865407925515E-3</v>
      </c>
      <c r="S43" s="543">
        <v>1200</v>
      </c>
      <c r="T43" s="49">
        <f>S43/S12</f>
        <v>7.1091263369787282E-3</v>
      </c>
      <c r="U43" s="134">
        <v>1200</v>
      </c>
      <c r="V43" s="49">
        <f>U43/U12</f>
        <v>8.9625161602716191E-3</v>
      </c>
      <c r="W43" s="134">
        <v>1200</v>
      </c>
      <c r="X43" s="49">
        <f>W43/W12</f>
        <v>8.8088758931063951E-3</v>
      </c>
      <c r="Y43" s="134">
        <v>1200</v>
      </c>
      <c r="Z43" s="168">
        <f>Y43/Y12</f>
        <v>5.8311304910731885E-3</v>
      </c>
      <c r="AA43" s="275">
        <f t="shared" si="34"/>
        <v>14400</v>
      </c>
      <c r="AB43" s="203">
        <f>AA43/AA12</f>
        <v>7.5095737415394621E-3</v>
      </c>
      <c r="AC43" s="194">
        <f t="shared" si="16"/>
        <v>1200</v>
      </c>
      <c r="AD43" s="203">
        <f>AC43/AC12</f>
        <v>7.5095737415394621E-3</v>
      </c>
      <c r="AE43" s="75"/>
      <c r="AF43" s="158"/>
      <c r="AG43" s="75"/>
      <c r="AH43" s="195">
        <v>23000</v>
      </c>
      <c r="AI43" s="244">
        <f>AH43/AH12</f>
        <v>2.8563262316990985E-2</v>
      </c>
      <c r="AJ43" s="282">
        <f t="shared" si="3"/>
        <v>38600</v>
      </c>
      <c r="AK43" s="53">
        <f t="shared" si="4"/>
        <v>0</v>
      </c>
      <c r="AL43" s="53">
        <f t="shared" si="19"/>
        <v>14400</v>
      </c>
      <c r="AM43" s="53">
        <f t="shared" si="32"/>
        <v>112800</v>
      </c>
      <c r="AN43" s="53" t="e">
        <f>#REF!-AM43</f>
        <v>#REF!</v>
      </c>
      <c r="AO43" s="53"/>
      <c r="AS43" s="53">
        <f t="shared" si="20"/>
        <v>11280</v>
      </c>
      <c r="AU43" s="305">
        <v>8978</v>
      </c>
      <c r="AV43" s="539" t="s">
        <v>230</v>
      </c>
    </row>
    <row r="44" spans="1:48">
      <c r="A44" s="98">
        <v>6103</v>
      </c>
      <c r="B44" s="107" t="s">
        <v>4</v>
      </c>
      <c r="C44" s="511"/>
      <c r="D44" s="49">
        <f>C44/C12</f>
        <v>0</v>
      </c>
      <c r="E44" s="512"/>
      <c r="F44" s="49">
        <f>E44/E12</f>
        <v>0</v>
      </c>
      <c r="G44" s="513"/>
      <c r="H44" s="49">
        <f>G44/G12</f>
        <v>0</v>
      </c>
      <c r="I44" s="514"/>
      <c r="J44" s="49">
        <f>I44/I12</f>
        <v>0</v>
      </c>
      <c r="K44" s="515"/>
      <c r="L44" s="49">
        <f>K44/K12</f>
        <v>0</v>
      </c>
      <c r="M44" s="517"/>
      <c r="N44" s="516">
        <f>M44/M12</f>
        <v>0</v>
      </c>
      <c r="O44" s="130"/>
      <c r="P44" s="49">
        <f>O44/O12</f>
        <v>0</v>
      </c>
      <c r="Q44" s="130">
        <v>0</v>
      </c>
      <c r="R44" s="49">
        <f>Q44/Q12</f>
        <v>0</v>
      </c>
      <c r="S44" s="130"/>
      <c r="T44" s="49">
        <f>S44/S12</f>
        <v>0</v>
      </c>
      <c r="U44" s="80">
        <v>0</v>
      </c>
      <c r="V44" s="49">
        <f>U44/U12</f>
        <v>0</v>
      </c>
      <c r="W44" s="80"/>
      <c r="X44" s="49">
        <f>W44/W12</f>
        <v>0</v>
      </c>
      <c r="Y44" s="80"/>
      <c r="Z44" s="168">
        <f>Y44/Y12</f>
        <v>0</v>
      </c>
      <c r="AA44" s="275">
        <f t="shared" si="34"/>
        <v>0</v>
      </c>
      <c r="AB44" s="203">
        <f>AA44/AA12</f>
        <v>0</v>
      </c>
      <c r="AC44" s="194">
        <f t="shared" si="16"/>
        <v>0</v>
      </c>
      <c r="AD44" s="203">
        <f>AC44/AC12</f>
        <v>0</v>
      </c>
      <c r="AE44" s="75"/>
      <c r="AF44" s="158"/>
      <c r="AG44" s="75"/>
      <c r="AH44" s="194">
        <v>0</v>
      </c>
      <c r="AI44" s="244">
        <f>AH44/AH12</f>
        <v>0</v>
      </c>
      <c r="AJ44" s="282">
        <f t="shared" si="3"/>
        <v>0</v>
      </c>
      <c r="AK44" s="53">
        <f t="shared" si="4"/>
        <v>0</v>
      </c>
      <c r="AL44" s="53">
        <f t="shared" si="19"/>
        <v>0</v>
      </c>
      <c r="AM44" s="53">
        <f t="shared" si="32"/>
        <v>0</v>
      </c>
      <c r="AN44" s="53" t="e">
        <f>#REF!-AM44</f>
        <v>#REF!</v>
      </c>
      <c r="AO44" s="53"/>
      <c r="AS44" s="53">
        <f t="shared" si="20"/>
        <v>0</v>
      </c>
    </row>
    <row r="45" spans="1:48">
      <c r="A45" s="98">
        <v>6104</v>
      </c>
      <c r="B45" s="107" t="s">
        <v>5</v>
      </c>
      <c r="C45" s="543">
        <v>263</v>
      </c>
      <c r="D45" s="49">
        <f>C45/C12</f>
        <v>1.8235775401811097E-3</v>
      </c>
      <c r="E45" s="543">
        <v>263</v>
      </c>
      <c r="F45" s="49">
        <f>E45/E12</f>
        <v>2.3439251151386041E-3</v>
      </c>
      <c r="G45" s="543">
        <v>263</v>
      </c>
      <c r="H45" s="49">
        <f>G45/G12</f>
        <v>1.4130436307873044E-3</v>
      </c>
      <c r="I45" s="543">
        <v>263</v>
      </c>
      <c r="J45" s="49">
        <f>I45/I12</f>
        <v>1.6002863234723852E-3</v>
      </c>
      <c r="K45" s="543">
        <v>263</v>
      </c>
      <c r="L45" s="49">
        <f>K45/K12</f>
        <v>1.7497081027575412E-3</v>
      </c>
      <c r="M45" s="543">
        <v>263</v>
      </c>
      <c r="N45" s="516">
        <f>M45/M12</f>
        <v>1.2339387969171798E-3</v>
      </c>
      <c r="O45" s="543">
        <v>263</v>
      </c>
      <c r="P45" s="49">
        <f>O45/O12</f>
        <v>1.9490100648796413E-3</v>
      </c>
      <c r="Q45" s="543">
        <v>263</v>
      </c>
      <c r="R45" s="49">
        <f>Q45/Q12</f>
        <v>1.5695810501903677E-3</v>
      </c>
      <c r="S45" s="543">
        <v>263</v>
      </c>
      <c r="T45" s="49">
        <f>S45/S12</f>
        <v>1.5580835221878379E-3</v>
      </c>
      <c r="U45" s="543">
        <v>263</v>
      </c>
      <c r="V45" s="49">
        <f>U45/U12</f>
        <v>1.9642847917928632E-3</v>
      </c>
      <c r="W45" s="543">
        <v>263</v>
      </c>
      <c r="X45" s="49">
        <f>W45/W12</f>
        <v>1.9306119665724851E-3</v>
      </c>
      <c r="Y45" s="543">
        <v>263</v>
      </c>
      <c r="Z45" s="168">
        <f>Y45/Y12</f>
        <v>1.2779894326268738E-3</v>
      </c>
      <c r="AA45" s="275">
        <f t="shared" si="34"/>
        <v>3156</v>
      </c>
      <c r="AB45" s="203">
        <f>AA45/AA12</f>
        <v>1.6458482450207321E-3</v>
      </c>
      <c r="AC45" s="194">
        <f t="shared" si="16"/>
        <v>263</v>
      </c>
      <c r="AD45" s="203">
        <f>AC45/AC12</f>
        <v>1.6458482450207321E-3</v>
      </c>
      <c r="AE45" s="75"/>
      <c r="AF45" s="158"/>
      <c r="AG45" s="75"/>
      <c r="AH45" s="196">
        <v>2359.6289999999999</v>
      </c>
      <c r="AI45" s="244">
        <f>AH45/AH12</f>
        <v>2.9303783520773529E-3</v>
      </c>
      <c r="AJ45" s="282">
        <f t="shared" si="3"/>
        <v>5778.6289999999999</v>
      </c>
      <c r="AK45" s="53">
        <f t="shared" si="4"/>
        <v>0</v>
      </c>
      <c r="AL45" s="53">
        <f t="shared" si="19"/>
        <v>3156</v>
      </c>
      <c r="AM45" s="53">
        <f t="shared" si="32"/>
        <v>24722.000000000004</v>
      </c>
      <c r="AN45" s="53" t="e">
        <f>#REF!-AM45</f>
        <v>#REF!</v>
      </c>
      <c r="AO45" s="53">
        <v>179</v>
      </c>
      <c r="AS45" s="53">
        <f t="shared" si="20"/>
        <v>2472.2000000000003</v>
      </c>
      <c r="AU45" s="305">
        <v>2371</v>
      </c>
      <c r="AV45" s="539" t="s">
        <v>282</v>
      </c>
    </row>
    <row r="46" spans="1:48">
      <c r="A46" s="98">
        <v>6105</v>
      </c>
      <c r="B46" s="107" t="s">
        <v>40</v>
      </c>
      <c r="C46" s="558">
        <v>500</v>
      </c>
      <c r="D46" s="521">
        <f>C46/C12</f>
        <v>3.466877452815798E-3</v>
      </c>
      <c r="E46" s="558">
        <v>500</v>
      </c>
      <c r="F46" s="521">
        <f>E46/E12</f>
        <v>4.4561313976019083E-3</v>
      </c>
      <c r="G46" s="558">
        <v>500</v>
      </c>
      <c r="H46" s="521">
        <f>G46/G12</f>
        <v>2.6863947353370807E-3</v>
      </c>
      <c r="I46" s="558">
        <v>500</v>
      </c>
      <c r="J46" s="521">
        <f>I46/I12</f>
        <v>3.0423694362592874E-3</v>
      </c>
      <c r="K46" s="558">
        <v>500</v>
      </c>
      <c r="L46" s="521">
        <f>K46/K12</f>
        <v>3.3264412599953255E-3</v>
      </c>
      <c r="M46" s="558">
        <v>500</v>
      </c>
      <c r="N46" s="521">
        <f>M46/M12</f>
        <v>2.3458912488919766E-3</v>
      </c>
      <c r="O46" s="558">
        <v>500</v>
      </c>
      <c r="P46" s="521">
        <f>O46/O12</f>
        <v>3.7053423286685198E-3</v>
      </c>
      <c r="Q46" s="558">
        <v>500</v>
      </c>
      <c r="R46" s="521">
        <f>Q46/Q$12</f>
        <v>2.9839943919968965E-3</v>
      </c>
      <c r="S46" s="558">
        <v>500</v>
      </c>
      <c r="T46" s="521">
        <f>S46/S$12</f>
        <v>2.9621359737411371E-3</v>
      </c>
      <c r="U46" s="376">
        <v>500</v>
      </c>
      <c r="V46" s="521">
        <f>U46/U$12</f>
        <v>3.7343817334465081E-3</v>
      </c>
      <c r="W46" s="376">
        <v>500</v>
      </c>
      <c r="X46" s="521">
        <f>W46/W$12</f>
        <v>3.6703649554609983E-3</v>
      </c>
      <c r="Y46" s="376">
        <v>500</v>
      </c>
      <c r="Z46" s="168">
        <f>Y46/Y12</f>
        <v>2.4296377046138288E-3</v>
      </c>
      <c r="AA46" s="275">
        <f t="shared" si="34"/>
        <v>6000</v>
      </c>
      <c r="AB46" s="203">
        <f>AA46/AA12</f>
        <v>3.128989058974776E-3</v>
      </c>
      <c r="AC46" s="194">
        <f t="shared" si="16"/>
        <v>500</v>
      </c>
      <c r="AD46" s="203">
        <f>AC46/AC12</f>
        <v>3.128989058974776E-3</v>
      </c>
      <c r="AE46" s="75"/>
      <c r="AF46" s="158"/>
      <c r="AG46" s="75"/>
      <c r="AH46" s="196">
        <v>0</v>
      </c>
      <c r="AI46" s="244">
        <f>AH46/AH12</f>
        <v>0</v>
      </c>
      <c r="AJ46" s="282">
        <f t="shared" si="3"/>
        <v>6500</v>
      </c>
      <c r="AK46" s="53">
        <f t="shared" si="4"/>
        <v>0</v>
      </c>
      <c r="AL46" s="53">
        <f t="shared" si="19"/>
        <v>6000</v>
      </c>
      <c r="AM46" s="53">
        <f t="shared" si="32"/>
        <v>47000</v>
      </c>
      <c r="AN46" s="53" t="e">
        <f>#REF!-AM46</f>
        <v>#REF!</v>
      </c>
      <c r="AO46" s="53"/>
      <c r="AS46" s="53">
        <f t="shared" si="20"/>
        <v>4700</v>
      </c>
      <c r="AV46" s="539" t="s">
        <v>283</v>
      </c>
    </row>
    <row r="47" spans="1:48">
      <c r="A47" s="98">
        <v>6106</v>
      </c>
      <c r="B47" s="107" t="s">
        <v>7</v>
      </c>
      <c r="C47" s="23"/>
      <c r="D47" s="49">
        <f>C47/C12</f>
        <v>0</v>
      </c>
      <c r="E47" s="23"/>
      <c r="F47" s="49">
        <f>E47/E12</f>
        <v>0</v>
      </c>
      <c r="G47" s="541">
        <v>0</v>
      </c>
      <c r="H47" s="49">
        <f>G47/G12</f>
        <v>0</v>
      </c>
      <c r="I47" s="23">
        <v>0</v>
      </c>
      <c r="J47" s="49">
        <f>I47/I12</f>
        <v>0</v>
      </c>
      <c r="K47" s="23"/>
      <c r="L47" s="49">
        <f>K47/K12</f>
        <v>0</v>
      </c>
      <c r="M47" s="541">
        <v>0</v>
      </c>
      <c r="N47" s="49">
        <f>M47/M12</f>
        <v>0</v>
      </c>
      <c r="O47" s="23">
        <v>0</v>
      </c>
      <c r="P47" s="49">
        <f>O47/O12</f>
        <v>0</v>
      </c>
      <c r="Q47" s="23"/>
      <c r="R47" s="49">
        <f>Q47/Q12</f>
        <v>0</v>
      </c>
      <c r="S47" s="23">
        <v>0</v>
      </c>
      <c r="T47" s="49">
        <f>S47/S12</f>
        <v>0</v>
      </c>
      <c r="U47" s="23">
        <v>0</v>
      </c>
      <c r="V47" s="49">
        <f>U47/U12</f>
        <v>0</v>
      </c>
      <c r="W47" s="23"/>
      <c r="X47" s="49">
        <f>W47/W12</f>
        <v>0</v>
      </c>
      <c r="Y47" s="23"/>
      <c r="Z47" s="168">
        <f>Y47/Y12</f>
        <v>0</v>
      </c>
      <c r="AA47" s="275">
        <f t="shared" si="34"/>
        <v>0</v>
      </c>
      <c r="AB47" s="203">
        <f>AA47/AA12</f>
        <v>0</v>
      </c>
      <c r="AC47" s="194">
        <f t="shared" si="16"/>
        <v>0</v>
      </c>
      <c r="AD47" s="203">
        <f>AC47/AC12</f>
        <v>0</v>
      </c>
      <c r="AE47" s="75"/>
      <c r="AF47" s="158"/>
      <c r="AG47" s="75"/>
      <c r="AH47" s="196">
        <v>0</v>
      </c>
      <c r="AI47" s="244">
        <f>AH47/AH12</f>
        <v>0</v>
      </c>
      <c r="AJ47" s="282">
        <f t="shared" si="3"/>
        <v>0</v>
      </c>
      <c r="AK47" s="53">
        <f t="shared" si="4"/>
        <v>0</v>
      </c>
      <c r="AL47" s="53">
        <f t="shared" si="19"/>
        <v>0</v>
      </c>
      <c r="AM47" s="53">
        <f t="shared" si="32"/>
        <v>0</v>
      </c>
      <c r="AN47" s="53" t="e">
        <f>#REF!-AM47</f>
        <v>#REF!</v>
      </c>
      <c r="AO47" s="53"/>
      <c r="AS47" s="53">
        <f t="shared" si="20"/>
        <v>0</v>
      </c>
    </row>
    <row r="48" spans="1:48">
      <c r="A48" s="98">
        <v>6107</v>
      </c>
      <c r="B48" s="107" t="s">
        <v>8</v>
      </c>
      <c r="C48" s="23"/>
      <c r="D48" s="49">
        <f>C48/C12</f>
        <v>0</v>
      </c>
      <c r="E48" s="23"/>
      <c r="F48" s="49">
        <f>E48/E12</f>
        <v>0</v>
      </c>
      <c r="G48" s="23"/>
      <c r="H48" s="49">
        <f>G48/G12</f>
        <v>0</v>
      </c>
      <c r="I48" s="23"/>
      <c r="J48" s="49">
        <f>I48/I12</f>
        <v>0</v>
      </c>
      <c r="K48" s="23"/>
      <c r="L48" s="49">
        <f>K48/K12</f>
        <v>0</v>
      </c>
      <c r="M48" s="23">
        <v>0</v>
      </c>
      <c r="N48" s="49">
        <f>M48/M12</f>
        <v>0</v>
      </c>
      <c r="O48" s="23">
        <v>0</v>
      </c>
      <c r="P48" s="49">
        <f>O48/O12</f>
        <v>0</v>
      </c>
      <c r="Q48" s="23"/>
      <c r="R48" s="49">
        <f>Q48/Q12</f>
        <v>0</v>
      </c>
      <c r="S48" s="23"/>
      <c r="T48" s="49">
        <f>S48/S12</f>
        <v>0</v>
      </c>
      <c r="U48" s="23"/>
      <c r="V48" s="49">
        <f>U48/U12</f>
        <v>0</v>
      </c>
      <c r="W48" s="23"/>
      <c r="X48" s="49">
        <f>W48/W12</f>
        <v>0</v>
      </c>
      <c r="Y48" s="23"/>
      <c r="Z48" s="168">
        <f>Y48/Y12</f>
        <v>0</v>
      </c>
      <c r="AA48" s="275">
        <f t="shared" si="34"/>
        <v>0</v>
      </c>
      <c r="AB48" s="203">
        <f>AA48/AA12</f>
        <v>0</v>
      </c>
      <c r="AC48" s="194">
        <f t="shared" si="16"/>
        <v>0</v>
      </c>
      <c r="AD48" s="203">
        <f>AC48/AC12</f>
        <v>0</v>
      </c>
      <c r="AE48" s="75"/>
      <c r="AF48" s="158"/>
      <c r="AG48" s="75"/>
      <c r="AH48" s="196">
        <v>0</v>
      </c>
      <c r="AI48" s="244">
        <f>AH48/AH12</f>
        <v>0</v>
      </c>
      <c r="AJ48" s="282">
        <f t="shared" si="3"/>
        <v>0</v>
      </c>
      <c r="AK48" s="53">
        <f t="shared" si="4"/>
        <v>0</v>
      </c>
      <c r="AL48" s="53">
        <f t="shared" si="19"/>
        <v>0</v>
      </c>
      <c r="AM48" s="53">
        <f t="shared" si="32"/>
        <v>0</v>
      </c>
      <c r="AN48" s="53" t="e">
        <f>#REF!-AM48</f>
        <v>#REF!</v>
      </c>
      <c r="AO48" s="53"/>
      <c r="AS48" s="53">
        <f t="shared" si="20"/>
        <v>0</v>
      </c>
    </row>
    <row r="49" spans="1:48">
      <c r="A49" s="98">
        <v>6108</v>
      </c>
      <c r="B49" s="107" t="s">
        <v>9</v>
      </c>
      <c r="C49" s="23"/>
      <c r="D49" s="49">
        <f>C49/C12</f>
        <v>0</v>
      </c>
      <c r="E49" s="23"/>
      <c r="F49" s="49">
        <f>E49/E12</f>
        <v>0</v>
      </c>
      <c r="G49" s="23"/>
      <c r="H49" s="49">
        <f>G49/G12</f>
        <v>0</v>
      </c>
      <c r="I49" s="23">
        <v>0</v>
      </c>
      <c r="J49" s="49">
        <f>I49/I12</f>
        <v>0</v>
      </c>
      <c r="K49" s="23">
        <v>0</v>
      </c>
      <c r="L49" s="49">
        <f>K49/K12</f>
        <v>0</v>
      </c>
      <c r="M49" s="23"/>
      <c r="N49" s="49">
        <f>M49/M12</f>
        <v>0</v>
      </c>
      <c r="O49" s="23"/>
      <c r="P49" s="49">
        <f>O49/O12</f>
        <v>0</v>
      </c>
      <c r="Q49" s="23"/>
      <c r="R49" s="49">
        <f>Q49/Q12</f>
        <v>0</v>
      </c>
      <c r="S49" s="23"/>
      <c r="T49" s="49">
        <f>S49/S12</f>
        <v>0</v>
      </c>
      <c r="U49" s="23"/>
      <c r="V49" s="49">
        <f>U49/U12</f>
        <v>0</v>
      </c>
      <c r="W49" s="23"/>
      <c r="X49" s="49">
        <f>W49/W12</f>
        <v>0</v>
      </c>
      <c r="Y49" s="23"/>
      <c r="Z49" s="168">
        <f>Y49/Y12</f>
        <v>0</v>
      </c>
      <c r="AA49" s="275">
        <f t="shared" si="34"/>
        <v>0</v>
      </c>
      <c r="AB49" s="203">
        <f>AA49/AA12</f>
        <v>0</v>
      </c>
      <c r="AC49" s="194">
        <f t="shared" si="16"/>
        <v>0</v>
      </c>
      <c r="AD49" s="203">
        <f>AC49/AC12</f>
        <v>0</v>
      </c>
      <c r="AE49" s="75"/>
      <c r="AF49" s="158"/>
      <c r="AG49" s="75"/>
      <c r="AH49" s="196">
        <v>0</v>
      </c>
      <c r="AI49" s="244">
        <f>AH49/AH12</f>
        <v>0</v>
      </c>
      <c r="AJ49" s="282">
        <f t="shared" si="3"/>
        <v>0</v>
      </c>
      <c r="AK49" s="53">
        <f t="shared" si="4"/>
        <v>0</v>
      </c>
      <c r="AL49" s="53">
        <f t="shared" si="19"/>
        <v>0</v>
      </c>
      <c r="AM49" s="53">
        <f t="shared" si="32"/>
        <v>0</v>
      </c>
      <c r="AN49" s="53" t="e">
        <f>#REF!-AM49</f>
        <v>#REF!</v>
      </c>
      <c r="AO49" s="53"/>
      <c r="AS49" s="53">
        <f t="shared" si="20"/>
        <v>0</v>
      </c>
    </row>
    <row r="50" spans="1:48">
      <c r="A50" s="98">
        <v>6109</v>
      </c>
      <c r="B50" s="107" t="s">
        <v>79</v>
      </c>
      <c r="C50" s="134"/>
      <c r="D50" s="49">
        <f>C50/C12</f>
        <v>0</v>
      </c>
      <c r="E50" s="134"/>
      <c r="F50" s="49">
        <f>E50/E12</f>
        <v>0</v>
      </c>
      <c r="G50" s="134"/>
      <c r="H50" s="49">
        <f>G50/G12</f>
        <v>0</v>
      </c>
      <c r="I50" s="134">
        <v>0</v>
      </c>
      <c r="J50" s="49">
        <f>I50/I12</f>
        <v>0</v>
      </c>
      <c r="K50" s="134"/>
      <c r="L50" s="49">
        <f>K50/K12</f>
        <v>0</v>
      </c>
      <c r="M50" s="134"/>
      <c r="N50" s="49">
        <f>M50/M12</f>
        <v>0</v>
      </c>
      <c r="O50" s="134"/>
      <c r="P50" s="49">
        <f>O50/O12</f>
        <v>0</v>
      </c>
      <c r="Q50" s="134"/>
      <c r="R50" s="49">
        <f>Q50/Q12</f>
        <v>0</v>
      </c>
      <c r="S50" s="134"/>
      <c r="T50" s="49">
        <f>S50/S12</f>
        <v>0</v>
      </c>
      <c r="U50" s="134"/>
      <c r="V50" s="49">
        <f>U50/U12</f>
        <v>0</v>
      </c>
      <c r="W50" s="134"/>
      <c r="X50" s="49">
        <f>W50/W12</f>
        <v>0</v>
      </c>
      <c r="Y50" s="134"/>
      <c r="Z50" s="168">
        <f>Y50/Y12</f>
        <v>0</v>
      </c>
      <c r="AA50" s="275">
        <f t="shared" si="34"/>
        <v>0</v>
      </c>
      <c r="AB50" s="203">
        <f>AA50/AA12</f>
        <v>0</v>
      </c>
      <c r="AC50" s="194">
        <f t="shared" si="16"/>
        <v>0</v>
      </c>
      <c r="AD50" s="203">
        <f>AC50/AC12</f>
        <v>0</v>
      </c>
      <c r="AE50" s="75"/>
      <c r="AF50" s="158"/>
      <c r="AG50" s="75"/>
      <c r="AH50" s="196">
        <v>0</v>
      </c>
      <c r="AI50" s="244">
        <f>AH50/AH12</f>
        <v>0</v>
      </c>
      <c r="AJ50" s="282">
        <f t="shared" si="3"/>
        <v>0</v>
      </c>
      <c r="AK50" s="53">
        <f t="shared" si="4"/>
        <v>0</v>
      </c>
      <c r="AL50" s="53">
        <f t="shared" si="19"/>
        <v>0</v>
      </c>
      <c r="AM50" s="53">
        <f t="shared" si="32"/>
        <v>0</v>
      </c>
      <c r="AN50" s="53" t="e">
        <f>#REF!-AM50</f>
        <v>#REF!</v>
      </c>
      <c r="AO50" s="53"/>
      <c r="AS50" s="53">
        <f t="shared" si="20"/>
        <v>0</v>
      </c>
    </row>
    <row r="51" spans="1:48">
      <c r="A51" s="98">
        <v>6110</v>
      </c>
      <c r="B51" s="107" t="s">
        <v>10</v>
      </c>
      <c r="C51" s="541">
        <v>50</v>
      </c>
      <c r="D51" s="49">
        <f>C127/C12</f>
        <v>3.4668774528157976E-4</v>
      </c>
      <c r="E51" s="541">
        <v>50</v>
      </c>
      <c r="F51" s="49">
        <f>E127/E12</f>
        <v>4.4561313976019086E-4</v>
      </c>
      <c r="G51" s="541">
        <v>50</v>
      </c>
      <c r="H51" s="49">
        <f>G127/G12</f>
        <v>2.6863947353370805E-4</v>
      </c>
      <c r="I51" s="541">
        <v>50</v>
      </c>
      <c r="J51" s="49">
        <f>I127/I12</f>
        <v>3.0423694362592874E-4</v>
      </c>
      <c r="K51" s="541">
        <v>50</v>
      </c>
      <c r="L51" s="49">
        <f>K127/K12</f>
        <v>3.3264412599953253E-4</v>
      </c>
      <c r="M51" s="541">
        <v>50</v>
      </c>
      <c r="N51" s="49">
        <f>M127/M12</f>
        <v>2.3458912488919767E-4</v>
      </c>
      <c r="O51" s="541">
        <v>50</v>
      </c>
      <c r="P51" s="49">
        <f>O127/O12</f>
        <v>3.7053423286685199E-4</v>
      </c>
      <c r="Q51" s="541">
        <v>50</v>
      </c>
      <c r="R51" s="49">
        <f>Q127/Q12</f>
        <v>2.9839943919968967E-4</v>
      </c>
      <c r="S51" s="541">
        <v>50</v>
      </c>
      <c r="T51" s="49">
        <f>S127/S12</f>
        <v>2.9621359737411369E-4</v>
      </c>
      <c r="U51" s="519">
        <v>50</v>
      </c>
      <c r="V51" s="49">
        <f>U127/U12</f>
        <v>3.7343817334465083E-4</v>
      </c>
      <c r="W51" s="519">
        <v>50</v>
      </c>
      <c r="X51" s="49">
        <f>W127/W12</f>
        <v>3.6703649554609982E-4</v>
      </c>
      <c r="Y51" s="23">
        <v>50</v>
      </c>
      <c r="Z51" s="168">
        <f>Y51/Y$12</f>
        <v>2.4296377046138286E-4</v>
      </c>
      <c r="AA51" s="275">
        <f t="shared" si="34"/>
        <v>600</v>
      </c>
      <c r="AB51" s="203">
        <f>AA51/AA12</f>
        <v>3.1289890589747762E-4</v>
      </c>
      <c r="AC51" s="194">
        <f t="shared" si="16"/>
        <v>50</v>
      </c>
      <c r="AD51" s="203">
        <f>AC51/AC12</f>
        <v>3.1289890589747762E-4</v>
      </c>
      <c r="AE51" s="75"/>
      <c r="AF51" s="158"/>
      <c r="AG51" s="75"/>
      <c r="AH51" s="196">
        <v>600</v>
      </c>
      <c r="AI51" s="244">
        <f>AH51/AH12</f>
        <v>7.4512858218237356E-4</v>
      </c>
      <c r="AJ51" s="282">
        <f t="shared" si="3"/>
        <v>1250</v>
      </c>
      <c r="AK51" s="53">
        <f t="shared" si="4"/>
        <v>0</v>
      </c>
      <c r="AL51" s="53">
        <f t="shared" si="19"/>
        <v>600</v>
      </c>
      <c r="AM51" s="53">
        <f t="shared" si="32"/>
        <v>4700</v>
      </c>
      <c r="AN51" s="53" t="e">
        <f>#REF!-AM51</f>
        <v>#REF!</v>
      </c>
      <c r="AO51" s="53">
        <v>30.19</v>
      </c>
      <c r="AS51" s="53">
        <f t="shared" si="20"/>
        <v>470</v>
      </c>
    </row>
    <row r="52" spans="1:48">
      <c r="A52" s="98">
        <v>6111</v>
      </c>
      <c r="B52" s="107" t="s">
        <v>11</v>
      </c>
      <c r="C52" s="524">
        <v>5143.08</v>
      </c>
      <c r="D52" s="49">
        <f>C52/C12</f>
        <v>3.5660856180055746E-2</v>
      </c>
      <c r="E52" s="524">
        <v>5143.083333333333</v>
      </c>
      <c r="F52" s="49">
        <f>E52/E12</f>
        <v>4.5836510244299494E-2</v>
      </c>
      <c r="G52" s="524">
        <v>5143.08</v>
      </c>
      <c r="H52" s="49">
        <f>G52/G12</f>
        <v>2.7632686070834862E-2</v>
      </c>
      <c r="I52" s="524">
        <v>5143.08</v>
      </c>
      <c r="J52" s="49">
        <f>I52/I12</f>
        <v>3.1294298800472832E-2</v>
      </c>
      <c r="K52" s="524">
        <v>5143</v>
      </c>
      <c r="L52" s="49">
        <f>K52/K12</f>
        <v>3.4215774800311918E-2</v>
      </c>
      <c r="M52" s="524">
        <v>5143</v>
      </c>
      <c r="N52" s="49">
        <f>M52/M12</f>
        <v>2.4129837386102873E-2</v>
      </c>
      <c r="O52" s="524">
        <v>5400.25</v>
      </c>
      <c r="P52" s="49">
        <f>O52/O12</f>
        <v>4.0019549820784345E-2</v>
      </c>
      <c r="Q52" s="524">
        <v>5400.25</v>
      </c>
      <c r="R52" s="49">
        <f>Q52/Q12</f>
        <v>3.2228631430762482E-2</v>
      </c>
      <c r="S52" s="524">
        <v>5400.25</v>
      </c>
      <c r="T52" s="49">
        <f>S52/S12</f>
        <v>3.1992549584391149E-2</v>
      </c>
      <c r="U52" s="524">
        <v>5400.25</v>
      </c>
      <c r="V52" s="49">
        <f>U52/U12</f>
        <v>4.0333189912089014E-2</v>
      </c>
      <c r="W52" s="524">
        <v>5400.25</v>
      </c>
      <c r="X52" s="49">
        <f>W52/W12</f>
        <v>3.9641776701456508E-2</v>
      </c>
      <c r="Y52" s="524">
        <v>5400.25</v>
      </c>
      <c r="Z52" s="168">
        <f>Y52/Y12</f>
        <v>2.6241302028681655E-2</v>
      </c>
      <c r="AA52" s="275">
        <f t="shared" si="34"/>
        <v>63259.823333333334</v>
      </c>
      <c r="AB52" s="203">
        <f>AA52/AA12</f>
        <v>3.2989882513779538E-2</v>
      </c>
      <c r="AC52" s="194">
        <f t="shared" si="16"/>
        <v>5271.6519444444448</v>
      </c>
      <c r="AD52" s="203">
        <f>AC52/AC12</f>
        <v>3.2989882513779545E-2</v>
      </c>
      <c r="AE52" s="75"/>
      <c r="AF52" s="158"/>
      <c r="AG52" s="75"/>
      <c r="AH52" s="194">
        <v>0</v>
      </c>
      <c r="AI52" s="244">
        <f>AH52/AH12</f>
        <v>0</v>
      </c>
      <c r="AJ52" s="282">
        <f t="shared" si="3"/>
        <v>68531.475277777776</v>
      </c>
      <c r="AK52" s="53">
        <f t="shared" si="4"/>
        <v>0</v>
      </c>
      <c r="AL52" s="53">
        <f t="shared" si="19"/>
        <v>63259.823333333334</v>
      </c>
      <c r="AM52" s="53">
        <f t="shared" si="32"/>
        <v>497952.40399999992</v>
      </c>
      <c r="AN52" s="53" t="e">
        <f>#REF!-AM52</f>
        <v>#REF!</v>
      </c>
      <c r="AO52" s="53"/>
      <c r="AS52" s="53">
        <f t="shared" si="20"/>
        <v>50762.35</v>
      </c>
      <c r="AT52" s="539" t="s">
        <v>281</v>
      </c>
    </row>
    <row r="53" spans="1:48">
      <c r="A53" s="98">
        <v>6112</v>
      </c>
      <c r="B53" s="107" t="s">
        <v>12</v>
      </c>
      <c r="C53" s="524">
        <v>500</v>
      </c>
      <c r="D53" s="49">
        <f>C53/C12</f>
        <v>3.466877452815798E-3</v>
      </c>
      <c r="E53" s="524">
        <v>500</v>
      </c>
      <c r="F53" s="49">
        <f>E53/E12</f>
        <v>4.4561313976019083E-3</v>
      </c>
      <c r="G53" s="524">
        <v>500</v>
      </c>
      <c r="H53" s="49">
        <f>G53/G12</f>
        <v>2.6863947353370807E-3</v>
      </c>
      <c r="I53" s="524">
        <v>500</v>
      </c>
      <c r="J53" s="49">
        <f>I53/I12</f>
        <v>3.0423694362592874E-3</v>
      </c>
      <c r="K53" s="524">
        <v>500</v>
      </c>
      <c r="L53" s="49">
        <f>K53/K12</f>
        <v>3.3264412599953255E-3</v>
      </c>
      <c r="M53" s="524">
        <v>500</v>
      </c>
      <c r="N53" s="49">
        <f>M53/M12</f>
        <v>2.3458912488919766E-3</v>
      </c>
      <c r="O53" s="524">
        <v>500</v>
      </c>
      <c r="P53" s="49">
        <f>O53/O12</f>
        <v>3.7053423286685198E-3</v>
      </c>
      <c r="Q53" s="524">
        <v>500</v>
      </c>
      <c r="R53" s="49">
        <f>Q53/Q12</f>
        <v>2.9839943919968965E-3</v>
      </c>
      <c r="S53" s="524">
        <v>500</v>
      </c>
      <c r="T53" s="49">
        <f>S53/S12</f>
        <v>2.9621359737411371E-3</v>
      </c>
      <c r="U53" s="524">
        <v>500</v>
      </c>
      <c r="V53" s="49">
        <f>U53/U12</f>
        <v>3.7343817334465081E-3</v>
      </c>
      <c r="W53" s="524">
        <v>500</v>
      </c>
      <c r="X53" s="49">
        <f>W53/W12</f>
        <v>3.6703649554609983E-3</v>
      </c>
      <c r="Y53" s="130">
        <v>500</v>
      </c>
      <c r="Z53" s="168">
        <f>Y53/Y12</f>
        <v>2.4296377046138288E-3</v>
      </c>
      <c r="AA53" s="275">
        <f t="shared" si="34"/>
        <v>6000</v>
      </c>
      <c r="AB53" s="203">
        <f>AA53/AA12</f>
        <v>3.128989058974776E-3</v>
      </c>
      <c r="AC53" s="194">
        <f t="shared" si="16"/>
        <v>500</v>
      </c>
      <c r="AD53" s="203">
        <f>AC53/AC12</f>
        <v>3.128989058974776E-3</v>
      </c>
      <c r="AE53" s="75"/>
      <c r="AF53" s="158"/>
      <c r="AG53" s="75"/>
      <c r="AH53" s="194">
        <v>5160</v>
      </c>
      <c r="AI53" s="244">
        <f>AH53/AH12</f>
        <v>6.4081058067684124E-3</v>
      </c>
      <c r="AJ53" s="282">
        <f t="shared" si="3"/>
        <v>11660</v>
      </c>
      <c r="AK53" s="53">
        <f t="shared" si="4"/>
        <v>0</v>
      </c>
      <c r="AL53" s="53">
        <f t="shared" si="19"/>
        <v>6000</v>
      </c>
      <c r="AM53" s="53">
        <f t="shared" si="32"/>
        <v>47000</v>
      </c>
      <c r="AN53" s="53" t="e">
        <f>#REF!-AM53</f>
        <v>#REF!</v>
      </c>
      <c r="AO53" s="53" t="s">
        <v>230</v>
      </c>
      <c r="AR53" s="305" t="s">
        <v>255</v>
      </c>
      <c r="AS53" s="53">
        <f t="shared" si="20"/>
        <v>4700</v>
      </c>
      <c r="AT53" s="539" t="s">
        <v>286</v>
      </c>
      <c r="AV53" s="539" t="s">
        <v>283</v>
      </c>
    </row>
    <row r="54" spans="1:48">
      <c r="A54" s="98">
        <v>6113</v>
      </c>
      <c r="B54" s="107" t="s">
        <v>13</v>
      </c>
      <c r="C54" s="520"/>
      <c r="D54" s="49">
        <f>C54/C12</f>
        <v>0</v>
      </c>
      <c r="E54" s="520"/>
      <c r="F54" s="49">
        <f>E54/E12</f>
        <v>0</v>
      </c>
      <c r="G54" s="520"/>
      <c r="H54" s="49">
        <f>G54/G12</f>
        <v>0</v>
      </c>
      <c r="I54" s="520"/>
      <c r="J54" s="49">
        <f>I54/I12</f>
        <v>0</v>
      </c>
      <c r="K54" s="520"/>
      <c r="L54" s="49">
        <f>K54/K12</f>
        <v>0</v>
      </c>
      <c r="M54" s="520"/>
      <c r="N54" s="49">
        <f>M54/M12</f>
        <v>0</v>
      </c>
      <c r="O54" s="520"/>
      <c r="P54" s="49">
        <f>O54/O12</f>
        <v>0</v>
      </c>
      <c r="Q54" s="520"/>
      <c r="R54" s="49">
        <f>Q54/Q12</f>
        <v>0</v>
      </c>
      <c r="S54" s="520"/>
      <c r="T54" s="49">
        <f>S54/S12</f>
        <v>0</v>
      </c>
      <c r="U54" s="520"/>
      <c r="V54" s="49">
        <f>U54/U12</f>
        <v>0</v>
      </c>
      <c r="W54" s="520"/>
      <c r="X54" s="49">
        <f>W54/W12</f>
        <v>0</v>
      </c>
      <c r="Y54" s="43"/>
      <c r="Z54" s="168">
        <f>Y54/Y12</f>
        <v>0</v>
      </c>
      <c r="AA54" s="275">
        <f t="shared" si="34"/>
        <v>0</v>
      </c>
      <c r="AB54" s="203">
        <f>AA54/AA12</f>
        <v>0</v>
      </c>
      <c r="AC54" s="194">
        <f t="shared" si="16"/>
        <v>0</v>
      </c>
      <c r="AD54" s="203">
        <f>AC54/AC12</f>
        <v>0</v>
      </c>
      <c r="AE54" s="75"/>
      <c r="AF54" s="158"/>
      <c r="AG54" s="75"/>
      <c r="AH54" s="194">
        <v>0</v>
      </c>
      <c r="AI54" s="244">
        <f>AH54/AH12</f>
        <v>0</v>
      </c>
      <c r="AJ54" s="282">
        <f t="shared" si="3"/>
        <v>0</v>
      </c>
      <c r="AK54" s="53">
        <f t="shared" si="4"/>
        <v>0</v>
      </c>
      <c r="AL54" s="53">
        <f t="shared" si="19"/>
        <v>0</v>
      </c>
      <c r="AM54" s="53">
        <f t="shared" si="32"/>
        <v>0</v>
      </c>
      <c r="AN54" s="53" t="e">
        <f>#REF!-AM54</f>
        <v>#REF!</v>
      </c>
      <c r="AO54" s="53"/>
      <c r="AS54" s="53">
        <f t="shared" si="20"/>
        <v>0</v>
      </c>
    </row>
    <row r="55" spans="1:48">
      <c r="A55" s="98">
        <v>6114</v>
      </c>
      <c r="B55" s="107" t="s">
        <v>88</v>
      </c>
      <c r="C55" s="541">
        <v>350</v>
      </c>
      <c r="D55" s="521">
        <f>C55/C12</f>
        <v>2.4268142169710585E-3</v>
      </c>
      <c r="E55" s="541">
        <v>350</v>
      </c>
      <c r="F55" s="521">
        <f>E55/E12</f>
        <v>3.119291978321336E-3</v>
      </c>
      <c r="G55" s="541">
        <v>350</v>
      </c>
      <c r="H55" s="521">
        <f>G55/G12</f>
        <v>1.8804763147359563E-3</v>
      </c>
      <c r="I55" s="541">
        <v>350</v>
      </c>
      <c r="J55" s="521">
        <f>I55/I12</f>
        <v>2.1296586053815014E-3</v>
      </c>
      <c r="K55" s="541">
        <v>350</v>
      </c>
      <c r="L55" s="521">
        <f>K55/K12</f>
        <v>2.3285088819967278E-3</v>
      </c>
      <c r="M55" s="541">
        <v>350</v>
      </c>
      <c r="N55" s="521">
        <f>M55/M12</f>
        <v>1.6421238742243837E-3</v>
      </c>
      <c r="O55" s="541">
        <v>350</v>
      </c>
      <c r="P55" s="521">
        <f>O55/O12</f>
        <v>2.5937396300679638E-3</v>
      </c>
      <c r="Q55" s="541">
        <v>350</v>
      </c>
      <c r="R55" s="521">
        <f>Q55/Q12</f>
        <v>2.0887960743978277E-3</v>
      </c>
      <c r="S55" s="541">
        <v>350</v>
      </c>
      <c r="T55" s="521">
        <f>S55/S12</f>
        <v>2.0734951816187958E-3</v>
      </c>
      <c r="U55" s="519">
        <v>350</v>
      </c>
      <c r="V55" s="521">
        <f>U55/U12</f>
        <v>2.6140672134125557E-3</v>
      </c>
      <c r="W55" s="519">
        <v>350</v>
      </c>
      <c r="X55" s="521">
        <f>W55/W12</f>
        <v>2.5692554688226989E-3</v>
      </c>
      <c r="Y55" s="519">
        <v>350</v>
      </c>
      <c r="Z55" s="168">
        <f>Y55/Y12</f>
        <v>1.7007463932296801E-3</v>
      </c>
      <c r="AA55" s="275">
        <f t="shared" si="34"/>
        <v>4200</v>
      </c>
      <c r="AB55" s="203">
        <f>AA55/AA12</f>
        <v>2.190292341282343E-3</v>
      </c>
      <c r="AC55" s="194">
        <f t="shared" si="16"/>
        <v>350</v>
      </c>
      <c r="AD55" s="203">
        <f>AC55/AC12</f>
        <v>2.190292341282343E-3</v>
      </c>
      <c r="AE55" s="75"/>
      <c r="AF55" s="158"/>
      <c r="AG55" s="75"/>
      <c r="AH55" s="196">
        <v>2750</v>
      </c>
      <c r="AI55" s="244">
        <f>AH55/AH12</f>
        <v>3.4151726683358786E-3</v>
      </c>
      <c r="AJ55" s="282">
        <f t="shared" si="3"/>
        <v>7300</v>
      </c>
      <c r="AK55" s="53">
        <f t="shared" si="4"/>
        <v>0</v>
      </c>
      <c r="AL55" s="53">
        <f t="shared" si="19"/>
        <v>4200</v>
      </c>
      <c r="AM55" s="53">
        <f t="shared" si="32"/>
        <v>32900</v>
      </c>
      <c r="AN55" s="53" t="e">
        <f>#REF!-AM55</f>
        <v>#REF!</v>
      </c>
      <c r="AO55" s="53">
        <v>67.67</v>
      </c>
      <c r="AR55" s="305" t="s">
        <v>256</v>
      </c>
      <c r="AS55" s="53">
        <f t="shared" si="20"/>
        <v>3290</v>
      </c>
    </row>
    <row r="56" spans="1:48">
      <c r="A56" s="98">
        <v>6115</v>
      </c>
      <c r="B56" s="107" t="s">
        <v>14</v>
      </c>
      <c r="C56" s="522">
        <v>75</v>
      </c>
      <c r="D56" s="17">
        <f>C56/C12</f>
        <v>5.2003161792236964E-4</v>
      </c>
      <c r="E56" s="522">
        <v>75</v>
      </c>
      <c r="F56" s="17">
        <f>E56/E12</f>
        <v>6.6841970964028627E-4</v>
      </c>
      <c r="G56" s="522">
        <v>75</v>
      </c>
      <c r="H56" s="17">
        <f>G56/G12</f>
        <v>4.0295921030056206E-4</v>
      </c>
      <c r="I56" s="522">
        <v>75</v>
      </c>
      <c r="J56" s="17">
        <f>I56/I12</f>
        <v>4.5635541543889312E-4</v>
      </c>
      <c r="K56" s="522">
        <v>75</v>
      </c>
      <c r="L56" s="17">
        <f>K56/K12</f>
        <v>4.9896618899929884E-4</v>
      </c>
      <c r="M56" s="522">
        <v>75</v>
      </c>
      <c r="N56" s="17">
        <f>M56/M12</f>
        <v>3.5188368733379653E-4</v>
      </c>
      <c r="O56" s="522">
        <v>75</v>
      </c>
      <c r="P56" s="17">
        <f>O56/O12</f>
        <v>5.5580134930027791E-4</v>
      </c>
      <c r="Q56" s="522">
        <v>75</v>
      </c>
      <c r="R56" s="17">
        <f>Q56/Q12</f>
        <v>4.4759915879953447E-4</v>
      </c>
      <c r="S56" s="522">
        <v>75</v>
      </c>
      <c r="T56" s="17">
        <f>S56/S12</f>
        <v>4.4432039606117052E-4</v>
      </c>
      <c r="U56" s="522">
        <v>75</v>
      </c>
      <c r="V56" s="17">
        <f>U56/U12</f>
        <v>5.601572600169762E-4</v>
      </c>
      <c r="W56" s="522">
        <v>75</v>
      </c>
      <c r="X56" s="17">
        <f>W56/W12</f>
        <v>5.505547433191497E-4</v>
      </c>
      <c r="Y56" s="54">
        <v>75</v>
      </c>
      <c r="Z56" s="215">
        <f>Y56/Y12</f>
        <v>3.6444565569207428E-4</v>
      </c>
      <c r="AA56" s="275">
        <f t="shared" si="34"/>
        <v>900</v>
      </c>
      <c r="AB56" s="203">
        <f>AA56/AA12</f>
        <v>4.6934835884621638E-4</v>
      </c>
      <c r="AC56" s="194">
        <f t="shared" si="16"/>
        <v>75</v>
      </c>
      <c r="AD56" s="203">
        <f>AC56/AC12</f>
        <v>4.6934835884621638E-4</v>
      </c>
      <c r="AE56" s="75"/>
      <c r="AF56" s="158"/>
      <c r="AG56" s="75"/>
      <c r="AH56" s="196">
        <v>900</v>
      </c>
      <c r="AI56" s="244">
        <f>AH56/AH12</f>
        <v>1.1176928732735602E-3</v>
      </c>
      <c r="AJ56" s="282">
        <f t="shared" si="3"/>
        <v>1875</v>
      </c>
      <c r="AK56" s="53">
        <f t="shared" si="4"/>
        <v>0</v>
      </c>
      <c r="AL56" s="53">
        <f t="shared" si="19"/>
        <v>900</v>
      </c>
      <c r="AM56" s="53">
        <f t="shared" si="32"/>
        <v>7050</v>
      </c>
      <c r="AN56" s="53" t="e">
        <f>#REF!-AM56</f>
        <v>#REF!</v>
      </c>
      <c r="AO56" s="53">
        <v>40.15</v>
      </c>
      <c r="AR56" s="305" t="s">
        <v>256</v>
      </c>
      <c r="AS56" s="53">
        <f t="shared" si="20"/>
        <v>705</v>
      </c>
    </row>
    <row r="57" spans="1:48">
      <c r="A57" s="98">
        <v>6116</v>
      </c>
      <c r="B57" s="107" t="s">
        <v>15</v>
      </c>
      <c r="C57" s="526">
        <v>320.58499999999998</v>
      </c>
      <c r="D57" s="49">
        <f>C57/C12</f>
        <v>2.2228578164219049E-3</v>
      </c>
      <c r="E57" s="526">
        <v>320.58499999999998</v>
      </c>
      <c r="F57" s="49">
        <f>E57/E12</f>
        <v>2.8571377682004157E-3</v>
      </c>
      <c r="G57" s="526">
        <v>320.58499999999998</v>
      </c>
      <c r="H57" s="49">
        <f>G57/G12</f>
        <v>1.7224357124560757E-3</v>
      </c>
      <c r="I57" s="526">
        <v>320.58499999999998</v>
      </c>
      <c r="J57" s="49">
        <f>I57/I12</f>
        <v>1.9506760114463672E-3</v>
      </c>
      <c r="K57" s="526">
        <v>320.58499999999998</v>
      </c>
      <c r="L57" s="49">
        <f>K57/K12</f>
        <v>2.1328143426712024E-3</v>
      </c>
      <c r="M57" s="526">
        <v>320.58499999999998</v>
      </c>
      <c r="N57" s="49">
        <f>M57/M12</f>
        <v>1.5041150920520685E-3</v>
      </c>
      <c r="O57" s="526">
        <v>320.58499999999998</v>
      </c>
      <c r="P57" s="49">
        <f>O57/O12</f>
        <v>2.3757543408723944E-3</v>
      </c>
      <c r="Q57" s="526">
        <v>320.58499999999998</v>
      </c>
      <c r="R57" s="49">
        <f>Q57/Q12</f>
        <v>1.9132476843166501E-3</v>
      </c>
      <c r="S57" s="526">
        <v>320.58499999999998</v>
      </c>
      <c r="T57" s="49">
        <f>S57/S12</f>
        <v>1.8992327222836045E-3</v>
      </c>
      <c r="U57" s="526">
        <v>320.58499999999998</v>
      </c>
      <c r="V57" s="49">
        <f>U57/U12</f>
        <v>2.3943735360338974E-3</v>
      </c>
      <c r="W57" s="526">
        <v>320.58499999999998</v>
      </c>
      <c r="X57" s="49">
        <f>W57/W12</f>
        <v>2.3533278984929282E-3</v>
      </c>
      <c r="Y57" s="526">
        <v>320.58499999999998</v>
      </c>
      <c r="Z57" s="168">
        <f>Y57/Y12</f>
        <v>1.5578108070672483E-3</v>
      </c>
      <c r="AA57" s="275">
        <f t="shared" si="34"/>
        <v>3847.02</v>
      </c>
      <c r="AB57" s="203">
        <f>AA57/AA12</f>
        <v>2.0062139149428569E-3</v>
      </c>
      <c r="AC57" s="194">
        <f t="shared" si="16"/>
        <v>320.58499999999998</v>
      </c>
      <c r="AD57" s="203">
        <f>AC57/AC12</f>
        <v>2.0062139149428569E-3</v>
      </c>
      <c r="AE57" s="75"/>
      <c r="AF57" s="158"/>
      <c r="AG57" s="75"/>
      <c r="AH57" s="196">
        <v>1200</v>
      </c>
      <c r="AI57" s="244">
        <f>AH57/AH12</f>
        <v>1.4902571643647471E-3</v>
      </c>
      <c r="AJ57" s="282">
        <f t="shared" si="3"/>
        <v>5367.6049999999996</v>
      </c>
      <c r="AK57" s="53">
        <f t="shared" si="4"/>
        <v>0</v>
      </c>
      <c r="AL57" s="53">
        <f t="shared" si="19"/>
        <v>3847.02</v>
      </c>
      <c r="AM57" s="53">
        <f t="shared" si="32"/>
        <v>30134.989999999998</v>
      </c>
      <c r="AN57" s="53" t="e">
        <f>#REF!-AM57</f>
        <v>#REF!</v>
      </c>
      <c r="AO57" s="53" t="s">
        <v>212</v>
      </c>
      <c r="AS57" s="53">
        <f t="shared" si="20"/>
        <v>3013.4989999999998</v>
      </c>
      <c r="AU57" s="305">
        <v>2520</v>
      </c>
      <c r="AV57" s="539" t="s">
        <v>284</v>
      </c>
    </row>
    <row r="58" spans="1:48">
      <c r="A58" s="98">
        <v>6117</v>
      </c>
      <c r="B58" s="107" t="s">
        <v>16</v>
      </c>
      <c r="C58" s="520"/>
      <c r="D58" s="49">
        <f>C58/C12</f>
        <v>0</v>
      </c>
      <c r="E58" s="520"/>
      <c r="F58" s="49">
        <f>E58/E12</f>
        <v>0</v>
      </c>
      <c r="G58" s="520"/>
      <c r="H58" s="49">
        <f>G58/G12</f>
        <v>0</v>
      </c>
      <c r="I58" s="520"/>
      <c r="J58" s="49">
        <f>I58/I12</f>
        <v>0</v>
      </c>
      <c r="K58" s="520"/>
      <c r="L58" s="49">
        <f>K58/K12</f>
        <v>0</v>
      </c>
      <c r="M58" s="520"/>
      <c r="N58" s="49">
        <f>M58/M12</f>
        <v>0</v>
      </c>
      <c r="O58" s="520"/>
      <c r="P58" s="49">
        <f>O58/O12</f>
        <v>0</v>
      </c>
      <c r="Q58" s="520"/>
      <c r="R58" s="49">
        <f>Q58/Q12</f>
        <v>0</v>
      </c>
      <c r="S58" s="520"/>
      <c r="T58" s="49">
        <f>S58/S12</f>
        <v>0</v>
      </c>
      <c r="U58" s="520"/>
      <c r="V58" s="49">
        <f>U58/U12</f>
        <v>0</v>
      </c>
      <c r="W58" s="520"/>
      <c r="X58" s="49">
        <f>W58/W12</f>
        <v>0</v>
      </c>
      <c r="Y58" s="43"/>
      <c r="Z58" s="168">
        <f>Y58/Y12</f>
        <v>0</v>
      </c>
      <c r="AA58" s="275">
        <f t="shared" si="34"/>
        <v>0</v>
      </c>
      <c r="AB58" s="203">
        <f>AA58/AA12</f>
        <v>0</v>
      </c>
      <c r="AC58" s="194">
        <f t="shared" si="16"/>
        <v>0</v>
      </c>
      <c r="AD58" s="203">
        <f>AC58/AC12</f>
        <v>0</v>
      </c>
      <c r="AE58" s="75"/>
      <c r="AF58" s="158"/>
      <c r="AG58" s="75"/>
      <c r="AH58" s="194">
        <v>0</v>
      </c>
      <c r="AI58" s="244">
        <f>AH58/AH12</f>
        <v>0</v>
      </c>
      <c r="AJ58" s="282">
        <f t="shared" si="3"/>
        <v>0</v>
      </c>
      <c r="AK58" s="53">
        <f t="shared" si="4"/>
        <v>0</v>
      </c>
      <c r="AL58" s="53">
        <f t="shared" si="19"/>
        <v>0</v>
      </c>
      <c r="AM58" s="53">
        <f t="shared" si="32"/>
        <v>0</v>
      </c>
      <c r="AN58" s="53" t="e">
        <f>#REF!-AM58</f>
        <v>#REF!</v>
      </c>
      <c r="AO58" s="53"/>
      <c r="AS58" s="53">
        <f t="shared" si="20"/>
        <v>0</v>
      </c>
    </row>
    <row r="59" spans="1:48">
      <c r="A59" s="98">
        <v>6118</v>
      </c>
      <c r="B59" s="108" t="s">
        <v>17</v>
      </c>
      <c r="C59" s="526">
        <v>1100</v>
      </c>
      <c r="D59" s="49">
        <f>C59/C$12</f>
        <v>7.6271303961947551E-3</v>
      </c>
      <c r="E59" s="526">
        <v>1100</v>
      </c>
      <c r="F59" s="49">
        <f>E59/E$12</f>
        <v>9.8034890747241994E-3</v>
      </c>
      <c r="G59" s="526">
        <v>1100</v>
      </c>
      <c r="H59" s="49">
        <f>G59/G$5</f>
        <v>4.6172409513606082E-3</v>
      </c>
      <c r="I59" s="526">
        <v>1100</v>
      </c>
      <c r="J59" s="49">
        <f>I59/I12</f>
        <v>6.6932127597704328E-3</v>
      </c>
      <c r="K59" s="526">
        <v>1500</v>
      </c>
      <c r="L59" s="49">
        <f>K59/K$5</f>
        <v>8.6028653275741201E-3</v>
      </c>
      <c r="M59" s="526">
        <v>1500</v>
      </c>
      <c r="N59" s="49">
        <f>M59/M$5</f>
        <v>5.5854553366432554E-3</v>
      </c>
      <c r="O59" s="526">
        <v>1500</v>
      </c>
      <c r="P59" s="49">
        <f>O59/O$5</f>
        <v>9.0374203138256538E-3</v>
      </c>
      <c r="Q59" s="526">
        <v>1500</v>
      </c>
      <c r="R59" s="49">
        <f>Q59/Q$5</f>
        <v>7.2193412709602349E-3</v>
      </c>
      <c r="S59" s="526">
        <v>1500</v>
      </c>
      <c r="T59" s="49">
        <f>S59/S$5</f>
        <v>7.5308541705283102E-3</v>
      </c>
      <c r="U59" s="526">
        <v>1200</v>
      </c>
      <c r="V59" s="49">
        <f>U59/U$5</f>
        <v>6.7387339550914367E-3</v>
      </c>
      <c r="W59" s="526">
        <v>1200</v>
      </c>
      <c r="X59" s="49">
        <f>W59/W$5</f>
        <v>7.865067761702137E-3</v>
      </c>
      <c r="Y59" s="526">
        <v>1200</v>
      </c>
      <c r="Z59" s="168">
        <f>Y59/Y$5</f>
        <v>4.6278813421215797E-3</v>
      </c>
      <c r="AA59" s="275">
        <f t="shared" si="34"/>
        <v>15500</v>
      </c>
      <c r="AB59" s="203">
        <f>AA59/AA$5</f>
        <v>6.5884408932462141E-3</v>
      </c>
      <c r="AC59" s="194">
        <f t="shared" si="16"/>
        <v>1291.6666666666667</v>
      </c>
      <c r="AD59" s="203">
        <f>AC59/AC$5</f>
        <v>6.5884408932462149E-3</v>
      </c>
      <c r="AE59" s="159"/>
      <c r="AF59" s="159"/>
      <c r="AG59" s="159"/>
      <c r="AH59" s="196">
        <v>0</v>
      </c>
      <c r="AI59" s="244">
        <f>AH59/AH$5</f>
        <v>0</v>
      </c>
      <c r="AJ59" s="282">
        <f t="shared" si="3"/>
        <v>16791.666666666668</v>
      </c>
      <c r="AK59" s="53">
        <f t="shared" si="4"/>
        <v>0</v>
      </c>
      <c r="AL59" s="53">
        <f t="shared" si="19"/>
        <v>15500</v>
      </c>
      <c r="AM59" s="53">
        <f t="shared" si="32"/>
        <v>125020</v>
      </c>
      <c r="AN59" s="53" t="e">
        <f>#REF!-AM59</f>
        <v>#REF!</v>
      </c>
      <c r="AO59" s="53"/>
      <c r="AS59" s="53">
        <f t="shared" si="20"/>
        <v>14100</v>
      </c>
      <c r="AU59" s="305">
        <v>8886</v>
      </c>
      <c r="AV59" s="539" t="s">
        <v>285</v>
      </c>
    </row>
    <row r="60" spans="1:48">
      <c r="A60" s="98">
        <v>6119</v>
      </c>
      <c r="B60" s="107" t="s">
        <v>18</v>
      </c>
      <c r="C60" s="520"/>
      <c r="D60" s="49">
        <f>C60/C12</f>
        <v>0</v>
      </c>
      <c r="E60" s="520"/>
      <c r="F60" s="49">
        <f>E60/E12</f>
        <v>0</v>
      </c>
      <c r="G60" s="520"/>
      <c r="H60" s="49">
        <f>G60/G12</f>
        <v>0</v>
      </c>
      <c r="I60" s="520"/>
      <c r="J60" s="49">
        <f>I60/I12</f>
        <v>0</v>
      </c>
      <c r="K60" s="520"/>
      <c r="L60" s="49">
        <f>K60/K12</f>
        <v>0</v>
      </c>
      <c r="M60" s="520"/>
      <c r="N60" s="49">
        <f>M60/M12</f>
        <v>0</v>
      </c>
      <c r="O60" s="520"/>
      <c r="P60" s="49">
        <f>O60/O12</f>
        <v>0</v>
      </c>
      <c r="Q60" s="520"/>
      <c r="R60" s="49">
        <f>Q60/Q12</f>
        <v>0</v>
      </c>
      <c r="S60" s="520"/>
      <c r="T60" s="49">
        <f>S60/S12</f>
        <v>0</v>
      </c>
      <c r="U60" s="520"/>
      <c r="V60" s="49">
        <f>U60/U12</f>
        <v>0</v>
      </c>
      <c r="W60" s="520"/>
      <c r="X60" s="49">
        <f>W60/W12</f>
        <v>0</v>
      </c>
      <c r="Y60" s="43"/>
      <c r="Z60" s="168">
        <f>Y60/Y12</f>
        <v>0</v>
      </c>
      <c r="AA60" s="275">
        <f t="shared" si="34"/>
        <v>0</v>
      </c>
      <c r="AB60" s="203">
        <f>AA60/AA12</f>
        <v>0</v>
      </c>
      <c r="AC60" s="194">
        <f t="shared" si="16"/>
        <v>0</v>
      </c>
      <c r="AD60" s="203">
        <f>AC60/AC12</f>
        <v>0</v>
      </c>
      <c r="AE60" s="75"/>
      <c r="AF60" s="158"/>
      <c r="AG60" s="75"/>
      <c r="AH60" s="194">
        <v>0</v>
      </c>
      <c r="AI60" s="244">
        <f>AH60/AH12</f>
        <v>0</v>
      </c>
      <c r="AJ60" s="282">
        <f t="shared" si="3"/>
        <v>0</v>
      </c>
      <c r="AK60" s="53">
        <f t="shared" si="4"/>
        <v>0</v>
      </c>
      <c r="AL60" s="53">
        <f t="shared" si="19"/>
        <v>0</v>
      </c>
      <c r="AM60" s="53">
        <f t="shared" si="32"/>
        <v>0</v>
      </c>
      <c r="AN60" s="53" t="e">
        <f>#REF!-AM60</f>
        <v>#REF!</v>
      </c>
      <c r="AO60" s="53"/>
      <c r="AS60" s="53">
        <f t="shared" si="20"/>
        <v>0</v>
      </c>
    </row>
    <row r="61" spans="1:48">
      <c r="A61" s="98">
        <v>6120</v>
      </c>
      <c r="B61" s="107" t="s">
        <v>19</v>
      </c>
      <c r="C61" s="520"/>
      <c r="D61" s="49">
        <f>C61/C12</f>
        <v>0</v>
      </c>
      <c r="E61" s="520"/>
      <c r="F61" s="49">
        <f>E61/E12</f>
        <v>0</v>
      </c>
      <c r="G61" s="520"/>
      <c r="H61" s="49">
        <f>G61/G12</f>
        <v>0</v>
      </c>
      <c r="I61" s="520"/>
      <c r="J61" s="49">
        <f>I61/I12</f>
        <v>0</v>
      </c>
      <c r="K61" s="520"/>
      <c r="L61" s="49">
        <f>K61/K12</f>
        <v>0</v>
      </c>
      <c r="M61" s="520"/>
      <c r="N61" s="49">
        <f>M61/M12</f>
        <v>0</v>
      </c>
      <c r="O61" s="520"/>
      <c r="P61" s="49">
        <f>O61/O12</f>
        <v>0</v>
      </c>
      <c r="Q61" s="520"/>
      <c r="R61" s="49">
        <f>Q61/Q12</f>
        <v>0</v>
      </c>
      <c r="S61" s="520"/>
      <c r="T61" s="49">
        <f>S61/S12</f>
        <v>0</v>
      </c>
      <c r="U61" s="520"/>
      <c r="V61" s="49">
        <f>U61/U12</f>
        <v>0</v>
      </c>
      <c r="W61" s="520"/>
      <c r="X61" s="49">
        <f>W61/W12</f>
        <v>0</v>
      </c>
      <c r="Y61" s="43"/>
      <c r="Z61" s="168">
        <f>Y61/Y12</f>
        <v>0</v>
      </c>
      <c r="AA61" s="275">
        <f t="shared" si="34"/>
        <v>0</v>
      </c>
      <c r="AB61" s="203">
        <f>AA61/AA12</f>
        <v>0</v>
      </c>
      <c r="AC61" s="194">
        <f t="shared" si="16"/>
        <v>0</v>
      </c>
      <c r="AD61" s="203">
        <f>AC61/AC12</f>
        <v>0</v>
      </c>
      <c r="AE61" s="75"/>
      <c r="AF61" s="158"/>
      <c r="AG61" s="75"/>
      <c r="AH61" s="194">
        <v>0</v>
      </c>
      <c r="AI61" s="244">
        <f>AH61/AH12</f>
        <v>0</v>
      </c>
      <c r="AJ61" s="282">
        <f t="shared" si="3"/>
        <v>0</v>
      </c>
      <c r="AK61" s="53">
        <f t="shared" si="4"/>
        <v>0</v>
      </c>
      <c r="AL61" s="53">
        <f t="shared" si="19"/>
        <v>0</v>
      </c>
      <c r="AM61" s="53">
        <f t="shared" si="32"/>
        <v>0</v>
      </c>
      <c r="AN61" s="53" t="e">
        <f>#REF!-AM61</f>
        <v>#REF!</v>
      </c>
      <c r="AO61" s="53"/>
      <c r="AS61" s="53">
        <f t="shared" si="20"/>
        <v>0</v>
      </c>
    </row>
    <row r="62" spans="1:48">
      <c r="A62" s="2">
        <v>6121</v>
      </c>
      <c r="B62" s="107" t="s">
        <v>20</v>
      </c>
      <c r="C62" s="540">
        <v>30</v>
      </c>
      <c r="D62" s="49">
        <f>C62/C12</f>
        <v>2.0801264716894787E-4</v>
      </c>
      <c r="E62" s="540">
        <v>30</v>
      </c>
      <c r="F62" s="49">
        <f>E62/E12</f>
        <v>2.6736788385611451E-4</v>
      </c>
      <c r="G62" s="540">
        <v>30</v>
      </c>
      <c r="H62" s="49">
        <f>G62/G12</f>
        <v>1.6118368412022484E-4</v>
      </c>
      <c r="I62" s="540">
        <v>30</v>
      </c>
      <c r="J62" s="49">
        <f>I62/I12</f>
        <v>1.8254216617555726E-4</v>
      </c>
      <c r="K62" s="540">
        <v>30</v>
      </c>
      <c r="L62" s="49">
        <f>K62/K12</f>
        <v>1.9958647559971952E-4</v>
      </c>
      <c r="M62" s="540">
        <v>30</v>
      </c>
      <c r="N62" s="49">
        <f>M62/M12</f>
        <v>1.4075347493351862E-4</v>
      </c>
      <c r="O62" s="540">
        <v>30</v>
      </c>
      <c r="P62" s="49">
        <f>O62/O12</f>
        <v>2.2232053972011119E-4</v>
      </c>
      <c r="Q62" s="540">
        <v>30</v>
      </c>
      <c r="R62" s="49">
        <f>Q62/Q12</f>
        <v>1.790396635198138E-4</v>
      </c>
      <c r="S62" s="518">
        <v>30</v>
      </c>
      <c r="T62" s="49">
        <f>S62/S12</f>
        <v>1.7772815842446822E-4</v>
      </c>
      <c r="U62" s="518">
        <v>30</v>
      </c>
      <c r="V62" s="49">
        <f>U62/U12</f>
        <v>2.2406290400679048E-4</v>
      </c>
      <c r="W62" s="518">
        <v>30</v>
      </c>
      <c r="X62" s="49">
        <f>W62/W12</f>
        <v>2.2022189732765989E-4</v>
      </c>
      <c r="Y62" s="18">
        <v>30</v>
      </c>
      <c r="Z62" s="168">
        <f>Y62/Y12</f>
        <v>1.457782622768297E-4</v>
      </c>
      <c r="AA62" s="275">
        <f t="shared" si="34"/>
        <v>360</v>
      </c>
      <c r="AB62" s="203">
        <f>AA62/AA12</f>
        <v>1.8773934353848656E-4</v>
      </c>
      <c r="AC62" s="194">
        <f t="shared" si="16"/>
        <v>30</v>
      </c>
      <c r="AD62" s="203">
        <f>AC62/AC12</f>
        <v>1.8773934353848656E-4</v>
      </c>
      <c r="AE62" s="75"/>
      <c r="AF62" s="158"/>
      <c r="AG62" s="75"/>
      <c r="AH62" s="194">
        <v>600</v>
      </c>
      <c r="AI62" s="244">
        <f>AH62/AH12</f>
        <v>7.4512858218237356E-4</v>
      </c>
      <c r="AJ62" s="282">
        <f t="shared" si="3"/>
        <v>990</v>
      </c>
      <c r="AK62" s="53">
        <f t="shared" si="4"/>
        <v>0</v>
      </c>
      <c r="AL62" s="53">
        <f t="shared" si="19"/>
        <v>360</v>
      </c>
      <c r="AM62" s="53">
        <f t="shared" si="32"/>
        <v>2820</v>
      </c>
      <c r="AN62" s="53" t="e">
        <f>#REF!-AM62</f>
        <v>#REF!</v>
      </c>
      <c r="AO62" s="53">
        <v>18.36</v>
      </c>
      <c r="AS62" s="53">
        <f t="shared" si="20"/>
        <v>282</v>
      </c>
    </row>
    <row r="63" spans="1:48">
      <c r="A63" s="2">
        <v>6122</v>
      </c>
      <c r="B63" s="107" t="s">
        <v>21</v>
      </c>
      <c r="C63" s="520"/>
      <c r="D63" s="49">
        <f>C63/C12</f>
        <v>0</v>
      </c>
      <c r="E63" s="520"/>
      <c r="F63" s="49">
        <f>E63/E12</f>
        <v>0</v>
      </c>
      <c r="G63" s="520"/>
      <c r="H63" s="49">
        <f>G63/G12</f>
        <v>0</v>
      </c>
      <c r="I63" s="520"/>
      <c r="J63" s="49">
        <f>I63/I12</f>
        <v>0</v>
      </c>
      <c r="K63" s="520"/>
      <c r="L63" s="49">
        <f>K63/K12</f>
        <v>0</v>
      </c>
      <c r="M63" s="520"/>
      <c r="N63" s="49">
        <f>M63/M12</f>
        <v>0</v>
      </c>
      <c r="O63" s="520"/>
      <c r="P63" s="49">
        <f>O63/O12</f>
        <v>0</v>
      </c>
      <c r="Q63" s="520"/>
      <c r="R63" s="49">
        <f>Q63/Q12</f>
        <v>0</v>
      </c>
      <c r="S63" s="520"/>
      <c r="T63" s="49">
        <f>S63/S12</f>
        <v>0</v>
      </c>
      <c r="U63" s="520"/>
      <c r="V63" s="49">
        <f>U63/U12</f>
        <v>0</v>
      </c>
      <c r="W63" s="520"/>
      <c r="X63" s="49">
        <f>W63/W12</f>
        <v>0</v>
      </c>
      <c r="Y63" s="43"/>
      <c r="Z63" s="168">
        <f>Y63/Y12</f>
        <v>0</v>
      </c>
      <c r="AA63" s="275">
        <f t="shared" si="34"/>
        <v>0</v>
      </c>
      <c r="AB63" s="203">
        <f>AA63/AA12</f>
        <v>0</v>
      </c>
      <c r="AC63" s="194">
        <f t="shared" si="16"/>
        <v>0</v>
      </c>
      <c r="AD63" s="203">
        <f>AC63/AC12</f>
        <v>0</v>
      </c>
      <c r="AE63" s="75"/>
      <c r="AF63" s="158"/>
      <c r="AG63" s="75"/>
      <c r="AH63" s="194">
        <v>0</v>
      </c>
      <c r="AI63" s="244">
        <f>AH63/AH12</f>
        <v>0</v>
      </c>
      <c r="AJ63" s="282">
        <f t="shared" si="3"/>
        <v>0</v>
      </c>
      <c r="AK63" s="53">
        <f t="shared" si="4"/>
        <v>0</v>
      </c>
      <c r="AL63" s="53">
        <f t="shared" si="19"/>
        <v>0</v>
      </c>
      <c r="AM63" s="53">
        <f t="shared" si="32"/>
        <v>0</v>
      </c>
      <c r="AN63" s="53" t="e">
        <f>#REF!-AM63</f>
        <v>#REF!</v>
      </c>
      <c r="AO63" s="53"/>
      <c r="AS63" s="53">
        <f t="shared" si="20"/>
        <v>0</v>
      </c>
    </row>
    <row r="64" spans="1:48">
      <c r="A64" s="2">
        <v>6123</v>
      </c>
      <c r="B64" s="107" t="s">
        <v>22</v>
      </c>
      <c r="C64" s="520"/>
      <c r="D64" s="49">
        <f>C64/C12</f>
        <v>0</v>
      </c>
      <c r="E64" s="520"/>
      <c r="F64" s="49">
        <f>E64/E12</f>
        <v>0</v>
      </c>
      <c r="G64" s="520"/>
      <c r="H64" s="49">
        <f>G64/G12</f>
        <v>0</v>
      </c>
      <c r="I64" s="520"/>
      <c r="J64" s="49">
        <f>I64/I12</f>
        <v>0</v>
      </c>
      <c r="K64" s="520"/>
      <c r="L64" s="49">
        <f>K64/K12</f>
        <v>0</v>
      </c>
      <c r="M64" s="520"/>
      <c r="N64" s="49">
        <f>M64/M12</f>
        <v>0</v>
      </c>
      <c r="O64" s="520"/>
      <c r="P64" s="49">
        <f>O64/O12</f>
        <v>0</v>
      </c>
      <c r="Q64" s="520"/>
      <c r="R64" s="49">
        <f>Q64/Q12</f>
        <v>0</v>
      </c>
      <c r="S64" s="520"/>
      <c r="T64" s="49">
        <f>S64/S12</f>
        <v>0</v>
      </c>
      <c r="U64" s="520"/>
      <c r="V64" s="49">
        <f>U64/U12</f>
        <v>0</v>
      </c>
      <c r="W64" s="520"/>
      <c r="X64" s="49">
        <f>W64/W12</f>
        <v>0</v>
      </c>
      <c r="Y64" s="43"/>
      <c r="Z64" s="168">
        <f>Y64/Y12</f>
        <v>0</v>
      </c>
      <c r="AA64" s="275">
        <f t="shared" si="34"/>
        <v>0</v>
      </c>
      <c r="AB64" s="203">
        <f>AA64/AA12</f>
        <v>0</v>
      </c>
      <c r="AC64" s="194">
        <f t="shared" si="16"/>
        <v>0</v>
      </c>
      <c r="AD64" s="203">
        <f>AC64/AC12</f>
        <v>0</v>
      </c>
      <c r="AE64" s="75"/>
      <c r="AF64" s="158"/>
      <c r="AG64" s="75"/>
      <c r="AH64" s="194">
        <v>0</v>
      </c>
      <c r="AI64" s="244">
        <f>AH64/AH12</f>
        <v>0</v>
      </c>
      <c r="AJ64" s="282">
        <f t="shared" si="3"/>
        <v>0</v>
      </c>
      <c r="AK64" s="53">
        <f t="shared" si="4"/>
        <v>0</v>
      </c>
      <c r="AL64" s="53">
        <f t="shared" si="19"/>
        <v>0</v>
      </c>
      <c r="AM64" s="53">
        <f t="shared" si="32"/>
        <v>0</v>
      </c>
      <c r="AN64" s="53" t="e">
        <f>#REF!-AM64</f>
        <v>#REF!</v>
      </c>
      <c r="AO64" s="53"/>
      <c r="AS64" s="53">
        <f t="shared" si="20"/>
        <v>0</v>
      </c>
    </row>
    <row r="65" spans="1:48">
      <c r="A65" s="98">
        <v>6124</v>
      </c>
      <c r="B65" s="107" t="s">
        <v>23</v>
      </c>
      <c r="C65" s="540">
        <v>1400</v>
      </c>
      <c r="D65" s="49">
        <f>C65/C12</f>
        <v>9.7072568678842341E-3</v>
      </c>
      <c r="E65" s="540">
        <v>150</v>
      </c>
      <c r="F65" s="49">
        <f>E65/E12</f>
        <v>1.3368394192805725E-3</v>
      </c>
      <c r="G65" s="540">
        <v>150</v>
      </c>
      <c r="H65" s="49">
        <f>G65/G12</f>
        <v>8.0591842060112411E-4</v>
      </c>
      <c r="I65" s="540">
        <v>10301</v>
      </c>
      <c r="J65" s="49">
        <f>I65/I12</f>
        <v>6.2678895125813844E-2</v>
      </c>
      <c r="K65" s="540">
        <v>150</v>
      </c>
      <c r="L65" s="49">
        <f>K65/K12</f>
        <v>9.9793237799859769E-4</v>
      </c>
      <c r="M65" s="540">
        <v>150</v>
      </c>
      <c r="N65" s="49">
        <f>M65/M12</f>
        <v>7.0376737466759307E-4</v>
      </c>
      <c r="O65" s="540">
        <v>150</v>
      </c>
      <c r="P65" s="49">
        <f>O65/O12</f>
        <v>1.1116026986005558E-3</v>
      </c>
      <c r="Q65" s="540">
        <v>150</v>
      </c>
      <c r="R65" s="49">
        <f>Q65/Q12</f>
        <v>8.9519831759906894E-4</v>
      </c>
      <c r="S65" s="540">
        <v>150</v>
      </c>
      <c r="T65" s="49">
        <f>S65/S12</f>
        <v>8.8864079212234103E-4</v>
      </c>
      <c r="U65" s="540">
        <v>150</v>
      </c>
      <c r="V65" s="49">
        <f>U65/U12</f>
        <v>1.1203145200339524E-3</v>
      </c>
      <c r="W65" s="540">
        <v>150</v>
      </c>
      <c r="X65" s="49">
        <f>W65/W12</f>
        <v>1.1011094866382994E-3</v>
      </c>
      <c r="Y65" s="540">
        <v>150</v>
      </c>
      <c r="Z65" s="168">
        <f>Y65/Y12</f>
        <v>7.2889131138414857E-4</v>
      </c>
      <c r="AA65" s="275">
        <f t="shared" si="34"/>
        <v>13201</v>
      </c>
      <c r="AB65" s="203">
        <f>AA65/AA12</f>
        <v>6.8842974279210026E-3</v>
      </c>
      <c r="AC65" s="194">
        <f t="shared" si="16"/>
        <v>1100.0833333333333</v>
      </c>
      <c r="AD65" s="203">
        <f>AC65/AC12</f>
        <v>6.8842974279210026E-3</v>
      </c>
      <c r="AE65" s="75"/>
      <c r="AF65" s="158"/>
      <c r="AG65" s="75"/>
      <c r="AH65" s="194">
        <v>1200</v>
      </c>
      <c r="AI65" s="244">
        <f>AH65/AH12</f>
        <v>1.4902571643647471E-3</v>
      </c>
      <c r="AJ65" s="282">
        <f t="shared" si="3"/>
        <v>15501.083333333334</v>
      </c>
      <c r="AK65" s="53">
        <f t="shared" si="4"/>
        <v>0</v>
      </c>
      <c r="AL65" s="53">
        <f t="shared" si="19"/>
        <v>13201</v>
      </c>
      <c r="AM65" s="53">
        <f t="shared" si="32"/>
        <v>109519.40000000001</v>
      </c>
      <c r="AN65" s="53" t="e">
        <f>#REF!-AM65</f>
        <v>#REF!</v>
      </c>
      <c r="AO65" s="53" t="s">
        <v>229</v>
      </c>
      <c r="AS65" s="53">
        <f t="shared" si="20"/>
        <v>1410</v>
      </c>
      <c r="AU65" s="305">
        <v>11961</v>
      </c>
      <c r="AV65" s="539" t="s">
        <v>287</v>
      </c>
    </row>
    <row r="66" spans="1:48">
      <c r="A66" s="98">
        <v>6125</v>
      </c>
      <c r="B66" s="107" t="s">
        <v>78</v>
      </c>
      <c r="C66" s="540">
        <v>44.42</v>
      </c>
      <c r="D66" s="521">
        <f>C66/C12</f>
        <v>3.0799739290815551E-4</v>
      </c>
      <c r="E66" s="540">
        <v>44.42</v>
      </c>
      <c r="F66" s="521">
        <f>E66/E12</f>
        <v>3.9588271336295358E-4</v>
      </c>
      <c r="G66" s="540">
        <v>44.42</v>
      </c>
      <c r="H66" s="521">
        <f>G66/G12</f>
        <v>2.3865930828734623E-4</v>
      </c>
      <c r="I66" s="540">
        <v>44.42</v>
      </c>
      <c r="J66" s="521">
        <f>I66/I12</f>
        <v>2.702841007172751E-4</v>
      </c>
      <c r="K66" s="540">
        <v>44.42</v>
      </c>
      <c r="L66" s="521">
        <f>K66/K12</f>
        <v>2.9552104153798473E-4</v>
      </c>
      <c r="M66" s="540">
        <v>44.42</v>
      </c>
      <c r="N66" s="521">
        <f>M66/M12</f>
        <v>2.0840897855156323E-4</v>
      </c>
      <c r="O66" s="540">
        <v>44.42</v>
      </c>
      <c r="P66" s="521">
        <f>O66/O12</f>
        <v>3.291826124789113E-4</v>
      </c>
      <c r="Q66" s="540">
        <v>44.42</v>
      </c>
      <c r="R66" s="521">
        <f>Q66/Q12</f>
        <v>2.6509806178500432E-4</v>
      </c>
      <c r="S66" s="540">
        <v>44.42</v>
      </c>
      <c r="T66" s="521">
        <f>S66/S12</f>
        <v>2.6315615990716261E-4</v>
      </c>
      <c r="U66" s="540">
        <v>44.42</v>
      </c>
      <c r="V66" s="521">
        <f>U66/U12</f>
        <v>3.3176247319938781E-4</v>
      </c>
      <c r="W66" s="540">
        <v>44.42</v>
      </c>
      <c r="X66" s="521">
        <f>W66/W12</f>
        <v>3.260752226431551E-4</v>
      </c>
      <c r="Y66" s="540">
        <v>44.42</v>
      </c>
      <c r="Z66" s="521">
        <f>Y66/Y12</f>
        <v>2.1584901367789253E-4</v>
      </c>
      <c r="AA66" s="275">
        <f t="shared" si="34"/>
        <v>533.04000000000008</v>
      </c>
      <c r="AB66" s="203">
        <f>AA66/AA12</f>
        <v>2.7797938799931912E-4</v>
      </c>
      <c r="AC66" s="194">
        <f t="shared" si="16"/>
        <v>44.420000000000009</v>
      </c>
      <c r="AD66" s="203">
        <f>AC66/AC12</f>
        <v>2.7797938799931917E-4</v>
      </c>
      <c r="AE66" s="75"/>
      <c r="AF66" s="158"/>
      <c r="AG66" s="75"/>
      <c r="AH66" s="194">
        <v>1375</v>
      </c>
      <c r="AI66" s="244">
        <f>AH66/AH12</f>
        <v>1.7075863341679393E-3</v>
      </c>
      <c r="AJ66" s="282">
        <f t="shared" si="3"/>
        <v>1952.46</v>
      </c>
      <c r="AK66" s="53">
        <f t="shared" si="4"/>
        <v>0</v>
      </c>
      <c r="AL66" s="53">
        <f t="shared" si="19"/>
        <v>533.04000000000008</v>
      </c>
      <c r="AM66" s="53">
        <f t="shared" si="32"/>
        <v>4175.4800000000014</v>
      </c>
      <c r="AN66" s="53" t="e">
        <f>#REF!-AM66</f>
        <v>#REF!</v>
      </c>
      <c r="AO66" s="53">
        <v>72.849999999999994</v>
      </c>
      <c r="AS66" s="53">
        <f t="shared" si="20"/>
        <v>417.54800000000006</v>
      </c>
      <c r="AU66" s="539"/>
      <c r="AV66" s="539"/>
    </row>
    <row r="67" spans="1:48">
      <c r="A67" s="2">
        <v>6126</v>
      </c>
      <c r="B67" s="107" t="s">
        <v>104</v>
      </c>
      <c r="C67" s="524"/>
      <c r="D67" s="521">
        <f>C67/C12</f>
        <v>0</v>
      </c>
      <c r="E67" s="524"/>
      <c r="F67" s="521">
        <f>E67/E12</f>
        <v>0</v>
      </c>
      <c r="G67" s="524"/>
      <c r="H67" s="521">
        <f>G67/G12</f>
        <v>0</v>
      </c>
      <c r="I67" s="524"/>
      <c r="J67" s="521">
        <f>I67/I12</f>
        <v>0</v>
      </c>
      <c r="K67" s="524"/>
      <c r="L67" s="521">
        <f>K67/K12</f>
        <v>0</v>
      </c>
      <c r="M67" s="524"/>
      <c r="N67" s="521">
        <f>M67/M12</f>
        <v>0</v>
      </c>
      <c r="O67" s="524"/>
      <c r="P67" s="521">
        <f>O67/O12</f>
        <v>0</v>
      </c>
      <c r="Q67" s="524"/>
      <c r="R67" s="521">
        <f>Q67/Q12</f>
        <v>0</v>
      </c>
      <c r="S67" s="524"/>
      <c r="T67" s="521">
        <f>S67/S12</f>
        <v>0</v>
      </c>
      <c r="U67" s="524"/>
      <c r="V67" s="521">
        <f>U67/U12</f>
        <v>0</v>
      </c>
      <c r="W67" s="524"/>
      <c r="X67" s="521">
        <f>W67/W12</f>
        <v>0</v>
      </c>
      <c r="Y67" s="524"/>
      <c r="Z67" s="521">
        <f>Y67/Y12</f>
        <v>0</v>
      </c>
      <c r="AA67" s="275">
        <f t="shared" si="34"/>
        <v>0</v>
      </c>
      <c r="AB67" s="203">
        <f>AA67/AA12</f>
        <v>0</v>
      </c>
      <c r="AC67" s="194">
        <f t="shared" si="16"/>
        <v>0</v>
      </c>
      <c r="AD67" s="203">
        <f>AC67/AC12</f>
        <v>0</v>
      </c>
      <c r="AE67" s="75"/>
      <c r="AF67" s="158"/>
      <c r="AG67" s="75"/>
      <c r="AH67" s="194">
        <v>0</v>
      </c>
      <c r="AI67" s="244">
        <f>AH67/AH12</f>
        <v>0</v>
      </c>
      <c r="AJ67" s="282">
        <f t="shared" si="3"/>
        <v>0</v>
      </c>
      <c r="AK67" s="53">
        <f t="shared" si="4"/>
        <v>0</v>
      </c>
      <c r="AL67" s="53">
        <f t="shared" si="19"/>
        <v>0</v>
      </c>
      <c r="AM67" s="53">
        <f t="shared" si="32"/>
        <v>0</v>
      </c>
      <c r="AN67" s="53" t="e">
        <f>#REF!-AM67</f>
        <v>#REF!</v>
      </c>
      <c r="AO67" s="53"/>
      <c r="AS67" s="53">
        <f t="shared" si="20"/>
        <v>0</v>
      </c>
    </row>
    <row r="68" spans="1:48">
      <c r="A68" s="98">
        <v>6127</v>
      </c>
      <c r="B68" s="107" t="s">
        <v>76</v>
      </c>
      <c r="C68" s="540">
        <v>223</v>
      </c>
      <c r="D68" s="521">
        <f>C68/C$12</f>
        <v>1.5462273439558459E-3</v>
      </c>
      <c r="E68" s="540">
        <v>223</v>
      </c>
      <c r="F68" s="521">
        <f>E68/E$12</f>
        <v>1.9874346033304513E-3</v>
      </c>
      <c r="G68" s="540">
        <v>223</v>
      </c>
      <c r="H68" s="521">
        <f>G68/G$12</f>
        <v>1.1981320519603379E-3</v>
      </c>
      <c r="I68" s="540">
        <v>223</v>
      </c>
      <c r="J68" s="521">
        <f>I68/I$12</f>
        <v>1.3568967685716423E-3</v>
      </c>
      <c r="K68" s="540">
        <v>223</v>
      </c>
      <c r="L68" s="521">
        <f>K68/K$12</f>
        <v>1.4835928019579152E-3</v>
      </c>
      <c r="M68" s="540">
        <v>223</v>
      </c>
      <c r="N68" s="521">
        <f>M68/M$12</f>
        <v>1.0462674970058217E-3</v>
      </c>
      <c r="O68" s="540">
        <v>223</v>
      </c>
      <c r="P68" s="521">
        <f>O68/O$12</f>
        <v>1.6525826785861598E-3</v>
      </c>
      <c r="Q68" s="540">
        <v>223</v>
      </c>
      <c r="R68" s="521">
        <f>Q68/Q$12</f>
        <v>1.3308614988306159E-3</v>
      </c>
      <c r="S68" s="540">
        <v>223</v>
      </c>
      <c r="T68" s="521">
        <f>S68/S$12</f>
        <v>1.3211126442885469E-3</v>
      </c>
      <c r="U68" s="540">
        <v>223</v>
      </c>
      <c r="V68" s="521">
        <f>U68/U$12</f>
        <v>1.6655342531171427E-3</v>
      </c>
      <c r="W68" s="540">
        <v>223</v>
      </c>
      <c r="X68" s="521">
        <f>W68/W$12</f>
        <v>1.6369827701356052E-3</v>
      </c>
      <c r="Y68" s="540">
        <v>223</v>
      </c>
      <c r="Z68" s="521">
        <f>Y68/Y$12</f>
        <v>1.0836184162577676E-3</v>
      </c>
      <c r="AA68" s="275">
        <f t="shared" si="34"/>
        <v>2676</v>
      </c>
      <c r="AB68" s="203">
        <f>AA68/AA12</f>
        <v>1.3955291203027501E-3</v>
      </c>
      <c r="AC68" s="194">
        <f t="shared" si="16"/>
        <v>223</v>
      </c>
      <c r="AD68" s="203">
        <f>AC68/AC12</f>
        <v>1.3955291203027501E-3</v>
      </c>
      <c r="AE68" s="75"/>
      <c r="AF68" s="158"/>
      <c r="AG68" s="75"/>
      <c r="AH68" s="194">
        <v>6000</v>
      </c>
      <c r="AI68" s="244">
        <f>AH68/AH12</f>
        <v>7.4512858218237351E-3</v>
      </c>
      <c r="AJ68" s="282">
        <f t="shared" si="3"/>
        <v>8899</v>
      </c>
      <c r="AK68" s="53">
        <f t="shared" si="4"/>
        <v>0</v>
      </c>
      <c r="AL68" s="53">
        <f t="shared" si="19"/>
        <v>2676</v>
      </c>
      <c r="AM68" s="53">
        <f t="shared" si="32"/>
        <v>20962.000000000004</v>
      </c>
      <c r="AN68" s="53" t="e">
        <f>#REF!-AM68</f>
        <v>#REF!</v>
      </c>
      <c r="AO68" s="53"/>
      <c r="AP68" s="306"/>
      <c r="AQ68" s="306"/>
      <c r="AS68" s="53">
        <f t="shared" si="20"/>
        <v>2096.2000000000003</v>
      </c>
    </row>
    <row r="69" spans="1:48">
      <c r="A69" s="2">
        <v>6128</v>
      </c>
      <c r="B69" s="107" t="s">
        <v>182</v>
      </c>
      <c r="C69" s="527"/>
      <c r="D69" s="521">
        <f>C69/C$12</f>
        <v>0</v>
      </c>
      <c r="E69" s="527"/>
      <c r="F69" s="521">
        <f>E69/E$12</f>
        <v>0</v>
      </c>
      <c r="G69" s="527"/>
      <c r="H69" s="521">
        <f>G69/G$12</f>
        <v>0</v>
      </c>
      <c r="I69" s="527"/>
      <c r="J69" s="521">
        <f>I69/I$12</f>
        <v>0</v>
      </c>
      <c r="K69" s="527"/>
      <c r="L69" s="521">
        <f>K69/K$12</f>
        <v>0</v>
      </c>
      <c r="M69" s="527"/>
      <c r="N69" s="521">
        <f>M69/M$12</f>
        <v>0</v>
      </c>
      <c r="O69" s="527"/>
      <c r="P69" s="521">
        <f>O69/O$12</f>
        <v>0</v>
      </c>
      <c r="Q69" s="527"/>
      <c r="R69" s="521">
        <f>Q69/Q$12</f>
        <v>0</v>
      </c>
      <c r="S69" s="527"/>
      <c r="T69" s="521">
        <f>S69/S$12</f>
        <v>0</v>
      </c>
      <c r="U69" s="527"/>
      <c r="V69" s="521">
        <f>U69/U$12</f>
        <v>0</v>
      </c>
      <c r="W69" s="527"/>
      <c r="X69" s="521">
        <f>W69/W$12</f>
        <v>0</v>
      </c>
      <c r="Y69" s="527"/>
      <c r="Z69" s="521">
        <f>Y69/Y$12</f>
        <v>0</v>
      </c>
      <c r="AA69" s="510">
        <f t="shared" si="34"/>
        <v>0</v>
      </c>
      <c r="AB69" s="49">
        <f>AA69/AA$12</f>
        <v>0</v>
      </c>
      <c r="AC69" s="194">
        <f t="shared" si="16"/>
        <v>0</v>
      </c>
      <c r="AD69" s="49">
        <f>AC69/AC$12</f>
        <v>0</v>
      </c>
      <c r="AE69" s="75"/>
      <c r="AF69" s="158"/>
      <c r="AG69" s="75"/>
      <c r="AH69" s="194">
        <v>0</v>
      </c>
      <c r="AI69" s="244"/>
      <c r="AJ69" s="282">
        <f t="shared" ref="AJ69:AJ115" si="35">SUM(AA69+AC69+AH69)</f>
        <v>0</v>
      </c>
      <c r="AK69" s="53">
        <f t="shared" ref="AK69:AK147" si="36">AA69-AL69</f>
        <v>0</v>
      </c>
      <c r="AL69" s="53">
        <f t="shared" si="19"/>
        <v>0</v>
      </c>
      <c r="AM69" s="53">
        <f t="shared" si="32"/>
        <v>0</v>
      </c>
      <c r="AN69" s="53" t="e">
        <f>#REF!-AM69</f>
        <v>#REF!</v>
      </c>
      <c r="AO69" s="53"/>
      <c r="AR69" s="141"/>
      <c r="AS69" s="53">
        <f t="shared" si="20"/>
        <v>0</v>
      </c>
    </row>
    <row r="70" spans="1:48">
      <c r="A70" s="2">
        <v>6131</v>
      </c>
      <c r="B70" s="107" t="s">
        <v>250</v>
      </c>
      <c r="C70" s="170">
        <v>71.069999999999993</v>
      </c>
      <c r="D70" s="521">
        <f t="shared" ref="D70:D75" si="37">C70/C$12</f>
        <v>4.9278196114323745E-4</v>
      </c>
      <c r="E70" s="170">
        <v>71.069999999999993</v>
      </c>
      <c r="F70" s="521">
        <f t="shared" ref="F70:F73" si="38">E70/E$12</f>
        <v>6.333945168551352E-4</v>
      </c>
      <c r="G70" s="170">
        <v>71.069999999999993</v>
      </c>
      <c r="H70" s="521">
        <f t="shared" ref="H70:H73" si="39">G70/G$12</f>
        <v>3.8184414768081256E-4</v>
      </c>
      <c r="I70" s="170">
        <v>71.069999999999993</v>
      </c>
      <c r="J70" s="521">
        <f t="shared" ref="J70:J73" si="40">I70/I$12</f>
        <v>4.3244239166989509E-4</v>
      </c>
      <c r="K70" s="170">
        <v>71.069999999999993</v>
      </c>
      <c r="L70" s="521">
        <f t="shared" ref="L70:L73" si="41">K70/K$12</f>
        <v>4.7282036069573548E-4</v>
      </c>
      <c r="M70" s="170">
        <v>71.069999999999993</v>
      </c>
      <c r="N70" s="521">
        <f t="shared" ref="N70:N73" si="42">M70/M$12</f>
        <v>3.3344498211750555E-4</v>
      </c>
      <c r="O70" s="170">
        <v>71.069999999999993</v>
      </c>
      <c r="P70" s="521">
        <f t="shared" ref="P70:P73" si="43">O70/O$12</f>
        <v>5.266773585969434E-4</v>
      </c>
      <c r="Q70" s="170">
        <v>71.069999999999993</v>
      </c>
      <c r="R70" s="521">
        <f t="shared" ref="R70:R73" si="44">Q70/Q$12</f>
        <v>4.2414496287843887E-4</v>
      </c>
      <c r="S70" s="170">
        <v>71.069999999999993</v>
      </c>
      <c r="T70" s="521">
        <f t="shared" ref="T70:T73" si="45">S70/S$12</f>
        <v>4.2103800730756513E-4</v>
      </c>
      <c r="U70" s="170">
        <v>71.069999999999993</v>
      </c>
      <c r="V70" s="521">
        <f t="shared" ref="V70:V73" si="46">U70/U$12</f>
        <v>5.308050195920866E-4</v>
      </c>
      <c r="W70" s="170">
        <v>71.069999999999993</v>
      </c>
      <c r="X70" s="521">
        <f t="shared" ref="X70:X73" si="47">W70/W$12</f>
        <v>5.2170567476922619E-4</v>
      </c>
      <c r="Y70" s="170">
        <v>71.069999999999993</v>
      </c>
      <c r="Z70" s="521">
        <f t="shared" ref="Z70:Z73" si="48">Y70/Y$12</f>
        <v>3.4534870333380958E-4</v>
      </c>
      <c r="AA70" s="510">
        <f t="shared" si="34"/>
        <v>852.83999999999969</v>
      </c>
      <c r="AB70" s="521">
        <f t="shared" ref="AB70" si="49">AA70/AA$12</f>
        <v>4.447545048426745E-4</v>
      </c>
      <c r="AC70" s="194">
        <f t="shared" ref="AC70:AC75" si="50">AA70/12</f>
        <v>71.069999999999979</v>
      </c>
      <c r="AD70" s="521">
        <f t="shared" ref="AD70" si="51">AC70/AC$12</f>
        <v>4.447545048426745E-4</v>
      </c>
      <c r="AE70" s="75"/>
      <c r="AF70" s="158"/>
      <c r="AG70" s="75"/>
      <c r="AH70" s="528"/>
      <c r="AI70" s="244"/>
      <c r="AJ70" s="282"/>
      <c r="AK70" s="53"/>
      <c r="AL70" s="53"/>
      <c r="AM70" s="53"/>
      <c r="AN70" s="53"/>
      <c r="AO70" s="53"/>
      <c r="AR70" s="141"/>
      <c r="AS70" s="53"/>
    </row>
    <row r="71" spans="1:48">
      <c r="A71" s="2">
        <v>6132</v>
      </c>
      <c r="B71" s="107" t="s">
        <v>251</v>
      </c>
      <c r="C71" s="170">
        <v>4.8862828713574977</v>
      </c>
      <c r="D71" s="521">
        <f t="shared" si="37"/>
        <v>3.3880287829578687E-5</v>
      </c>
      <c r="E71" s="170">
        <v>4.8862828713574977</v>
      </c>
      <c r="F71" s="521">
        <f t="shared" si="38"/>
        <v>4.3547837041241104E-5</v>
      </c>
      <c r="G71" s="170">
        <v>4.8862828713574977</v>
      </c>
      <c r="H71" s="521">
        <f t="shared" si="39"/>
        <v>2.6252969161965069E-5</v>
      </c>
      <c r="I71" s="170">
        <v>4.8862828713574977</v>
      </c>
      <c r="J71" s="521">
        <f t="shared" si="40"/>
        <v>2.9731755329470645E-5</v>
      </c>
      <c r="K71" s="170">
        <v>4.8862828713574977</v>
      </c>
      <c r="L71" s="521">
        <f t="shared" si="41"/>
        <v>3.2507865902584023E-5</v>
      </c>
      <c r="M71" s="170">
        <v>4.8862828713574977</v>
      </c>
      <c r="N71" s="521">
        <f t="shared" si="42"/>
        <v>2.292537645505663E-5</v>
      </c>
      <c r="O71" s="170">
        <v>4.8862828713574977</v>
      </c>
      <c r="P71" s="521">
        <f t="shared" si="43"/>
        <v>3.621070150617778E-5</v>
      </c>
      <c r="Q71" s="170">
        <v>4.8862828713574977</v>
      </c>
      <c r="R71" s="521">
        <f t="shared" si="44"/>
        <v>2.9161281371682532E-5</v>
      </c>
      <c r="S71" s="170">
        <v>4.8862828713574977</v>
      </c>
      <c r="T71" s="521">
        <f t="shared" si="45"/>
        <v>2.8947668542246359E-5</v>
      </c>
      <c r="U71" s="170">
        <v>4.8862828713574977</v>
      </c>
      <c r="V71" s="521">
        <f t="shared" si="46"/>
        <v>3.6494490998499989E-5</v>
      </c>
      <c r="W71" s="170">
        <v>4.8862828713574977</v>
      </c>
      <c r="X71" s="521">
        <f t="shared" si="47"/>
        <v>3.58688828269998E-5</v>
      </c>
      <c r="Y71" s="170">
        <v>4.8862828713574977</v>
      </c>
      <c r="Z71" s="521">
        <f t="shared" si="48"/>
        <v>2.3743794199317798E-5</v>
      </c>
      <c r="AA71" s="510">
        <f t="shared" si="34"/>
        <v>58.635394456289958</v>
      </c>
      <c r="AB71" s="521">
        <f t="shared" ref="AB71" si="52">AA71/AA$12</f>
        <v>3.0578251287066917E-5</v>
      </c>
      <c r="AC71" s="194">
        <f t="shared" si="50"/>
        <v>4.8862828713574968</v>
      </c>
      <c r="AD71" s="521">
        <f t="shared" ref="AD71" si="53">AC71/AC$12</f>
        <v>3.0578251287066917E-5</v>
      </c>
      <c r="AE71" s="75"/>
      <c r="AF71" s="158"/>
      <c r="AG71" s="75"/>
      <c r="AH71" s="528"/>
      <c r="AI71" s="244"/>
      <c r="AJ71" s="282"/>
      <c r="AK71" s="53"/>
      <c r="AL71" s="53"/>
      <c r="AM71" s="53"/>
      <c r="AN71" s="53"/>
      <c r="AO71" s="53"/>
      <c r="AR71" s="141"/>
      <c r="AS71" s="53"/>
    </row>
    <row r="72" spans="1:48">
      <c r="A72" s="2">
        <v>6133</v>
      </c>
      <c r="B72" s="107" t="s">
        <v>252</v>
      </c>
      <c r="C72" s="170">
        <v>10</v>
      </c>
      <c r="D72" s="521">
        <f t="shared" si="37"/>
        <v>6.933754905631596E-5</v>
      </c>
      <c r="E72" s="170">
        <v>10</v>
      </c>
      <c r="F72" s="521">
        <f t="shared" si="38"/>
        <v>8.9122627952038165E-5</v>
      </c>
      <c r="G72" s="170">
        <v>10</v>
      </c>
      <c r="H72" s="521">
        <f t="shared" si="39"/>
        <v>5.3727894706741612E-5</v>
      </c>
      <c r="I72" s="170">
        <v>10</v>
      </c>
      <c r="J72" s="521">
        <f t="shared" si="40"/>
        <v>6.084738872518575E-5</v>
      </c>
      <c r="K72" s="170">
        <v>10</v>
      </c>
      <c r="L72" s="521">
        <f t="shared" si="41"/>
        <v>6.6528825199906505E-5</v>
      </c>
      <c r="M72" s="170">
        <v>10</v>
      </c>
      <c r="N72" s="521">
        <f t="shared" si="42"/>
        <v>4.6917824977839533E-5</v>
      </c>
      <c r="O72" s="170">
        <v>10</v>
      </c>
      <c r="P72" s="521">
        <f t="shared" si="43"/>
        <v>7.4106846573370391E-5</v>
      </c>
      <c r="Q72" s="170">
        <v>10</v>
      </c>
      <c r="R72" s="521">
        <f t="shared" si="44"/>
        <v>5.967988783993793E-5</v>
      </c>
      <c r="S72" s="170">
        <v>10</v>
      </c>
      <c r="T72" s="521">
        <f t="shared" si="45"/>
        <v>5.9242719474822736E-5</v>
      </c>
      <c r="U72" s="170">
        <v>10</v>
      </c>
      <c r="V72" s="521">
        <f t="shared" si="46"/>
        <v>7.4687634668930161E-5</v>
      </c>
      <c r="W72" s="170">
        <v>10</v>
      </c>
      <c r="X72" s="521">
        <f t="shared" si="47"/>
        <v>7.340729910921996E-5</v>
      </c>
      <c r="Y72" s="170">
        <v>10</v>
      </c>
      <c r="Z72" s="521">
        <f t="shared" si="48"/>
        <v>4.859275409227657E-5</v>
      </c>
      <c r="AA72" s="510">
        <f t="shared" si="34"/>
        <v>120</v>
      </c>
      <c r="AB72" s="521">
        <f t="shared" ref="AB72:AB74" si="54">AA72/AA$12</f>
        <v>6.2579781179495519E-5</v>
      </c>
      <c r="AC72" s="194">
        <f t="shared" si="50"/>
        <v>10</v>
      </c>
      <c r="AD72" s="521">
        <f t="shared" ref="AD72" si="55">AC72/AC$12</f>
        <v>6.2579781179495519E-5</v>
      </c>
      <c r="AE72" s="75"/>
      <c r="AF72" s="158"/>
      <c r="AG72" s="75"/>
      <c r="AH72" s="528"/>
      <c r="AI72" s="244"/>
      <c r="AJ72" s="282"/>
      <c r="AK72" s="53"/>
      <c r="AL72" s="53"/>
      <c r="AM72" s="53"/>
      <c r="AN72" s="53"/>
      <c r="AO72" s="53"/>
      <c r="AR72" s="141"/>
      <c r="AS72" s="53"/>
    </row>
    <row r="73" spans="1:48">
      <c r="A73" s="2">
        <v>6134</v>
      </c>
      <c r="B73" s="107" t="s">
        <v>253</v>
      </c>
      <c r="C73" s="170"/>
      <c r="D73" s="521">
        <f t="shared" si="37"/>
        <v>0</v>
      </c>
      <c r="E73" s="170"/>
      <c r="F73" s="521">
        <f t="shared" si="38"/>
        <v>0</v>
      </c>
      <c r="G73" s="170"/>
      <c r="H73" s="521">
        <f t="shared" si="39"/>
        <v>0</v>
      </c>
      <c r="I73" s="170"/>
      <c r="J73" s="521">
        <f t="shared" si="40"/>
        <v>0</v>
      </c>
      <c r="K73" s="170"/>
      <c r="L73" s="521">
        <f t="shared" si="41"/>
        <v>0</v>
      </c>
      <c r="M73" s="170"/>
      <c r="N73" s="521">
        <f t="shared" si="42"/>
        <v>0</v>
      </c>
      <c r="O73" s="170"/>
      <c r="P73" s="521">
        <f t="shared" si="43"/>
        <v>0</v>
      </c>
      <c r="Q73" s="170"/>
      <c r="R73" s="521">
        <f t="shared" si="44"/>
        <v>0</v>
      </c>
      <c r="S73" s="170"/>
      <c r="T73" s="521">
        <f t="shared" si="45"/>
        <v>0</v>
      </c>
      <c r="U73" s="170"/>
      <c r="V73" s="521">
        <f t="shared" si="46"/>
        <v>0</v>
      </c>
      <c r="W73" s="170"/>
      <c r="X73" s="521">
        <f t="shared" si="47"/>
        <v>0</v>
      </c>
      <c r="Y73" s="170"/>
      <c r="Z73" s="521">
        <f t="shared" si="48"/>
        <v>0</v>
      </c>
      <c r="AA73" s="510">
        <f t="shared" si="34"/>
        <v>0</v>
      </c>
      <c r="AB73" s="521">
        <f t="shared" ref="AB73" si="56">AA73/AA$12</f>
        <v>0</v>
      </c>
      <c r="AC73" s="194">
        <f t="shared" si="50"/>
        <v>0</v>
      </c>
      <c r="AD73" s="521">
        <f t="shared" ref="AD73" si="57">AC73/AC$12</f>
        <v>0</v>
      </c>
      <c r="AE73" s="75"/>
      <c r="AF73" s="158"/>
      <c r="AG73" s="75"/>
      <c r="AH73" s="528"/>
      <c r="AI73" s="244"/>
      <c r="AJ73" s="282"/>
      <c r="AK73" s="53"/>
      <c r="AL73" s="53"/>
      <c r="AM73" s="53"/>
      <c r="AN73" s="53"/>
      <c r="AO73" s="53"/>
      <c r="AR73" s="141"/>
      <c r="AS73" s="53"/>
    </row>
    <row r="74" spans="1:48">
      <c r="A74" s="2">
        <v>6135</v>
      </c>
      <c r="B74" s="107" t="s">
        <v>254</v>
      </c>
      <c r="C74" s="170"/>
      <c r="D74" s="521">
        <f>C74/C$12</f>
        <v>0</v>
      </c>
      <c r="E74" s="170"/>
      <c r="F74" s="521">
        <f>E74/E$12</f>
        <v>0</v>
      </c>
      <c r="G74" s="170"/>
      <c r="H74" s="521">
        <f>G74/G$12</f>
        <v>0</v>
      </c>
      <c r="I74" s="170"/>
      <c r="J74" s="521">
        <f>I74/I$12</f>
        <v>0</v>
      </c>
      <c r="K74" s="170"/>
      <c r="L74" s="521">
        <f>K74/K$12</f>
        <v>0</v>
      </c>
      <c r="M74" s="170"/>
      <c r="N74" s="521">
        <f>M74/M$12</f>
        <v>0</v>
      </c>
      <c r="O74" s="170"/>
      <c r="P74" s="521">
        <f>O74/O$12</f>
        <v>0</v>
      </c>
      <c r="Q74" s="170"/>
      <c r="R74" s="521">
        <f>Q74/Q$12</f>
        <v>0</v>
      </c>
      <c r="S74" s="170"/>
      <c r="T74" s="521">
        <f>S74/S$12</f>
        <v>0</v>
      </c>
      <c r="U74" s="170"/>
      <c r="V74" s="521">
        <f>U74/U$12</f>
        <v>0</v>
      </c>
      <c r="W74" s="170"/>
      <c r="X74" s="521">
        <f>W74/W$12</f>
        <v>0</v>
      </c>
      <c r="Y74" s="170"/>
      <c r="Z74" s="521">
        <f>Y74/Y$12</f>
        <v>0</v>
      </c>
      <c r="AA74" s="510">
        <f t="shared" si="34"/>
        <v>0</v>
      </c>
      <c r="AB74" s="521">
        <f t="shared" si="54"/>
        <v>0</v>
      </c>
      <c r="AC74" s="194">
        <f t="shared" si="50"/>
        <v>0</v>
      </c>
      <c r="AD74" s="521">
        <f>AC74/AC$12</f>
        <v>0</v>
      </c>
      <c r="AE74" s="75"/>
      <c r="AF74" s="158"/>
      <c r="AG74" s="75"/>
      <c r="AH74" s="528"/>
      <c r="AI74" s="244"/>
      <c r="AJ74" s="282"/>
      <c r="AK74" s="53"/>
      <c r="AL74" s="53"/>
      <c r="AM74" s="53"/>
      <c r="AN74" s="53"/>
      <c r="AO74" s="53"/>
      <c r="AR74" s="141"/>
      <c r="AS74" s="53"/>
    </row>
    <row r="75" spans="1:48">
      <c r="A75" s="2">
        <v>6136</v>
      </c>
      <c r="B75" s="107" t="s">
        <v>265</v>
      </c>
      <c r="C75" s="170">
        <v>15.99147121535181</v>
      </c>
      <c r="D75" s="521">
        <f t="shared" si="37"/>
        <v>1.1088094198771207E-4</v>
      </c>
      <c r="E75" s="170">
        <v>15.99147121535181</v>
      </c>
      <c r="F75" s="521">
        <f t="shared" ref="F75" si="58">E75/E$12</f>
        <v>1.425201939531527E-4</v>
      </c>
      <c r="G75" s="170">
        <v>15.99147121535181</v>
      </c>
      <c r="H75" s="521">
        <f t="shared" ref="H75" si="59">G75/G$12</f>
        <v>8.5918808166431129E-5</v>
      </c>
      <c r="I75" s="170">
        <v>15.99147121535181</v>
      </c>
      <c r="J75" s="521">
        <f t="shared" ref="J75" si="60">I75/I$12</f>
        <v>9.7303926532813024E-5</v>
      </c>
      <c r="K75" s="170">
        <v>15.99147121535181</v>
      </c>
      <c r="L75" s="521">
        <f t="shared" ref="L75" si="61">K75/K$12</f>
        <v>1.063893793175477E-4</v>
      </c>
      <c r="M75" s="170">
        <v>15.99147121535181</v>
      </c>
      <c r="N75" s="521">
        <f t="shared" ref="N75" si="62">M75/M$12</f>
        <v>7.5028504762003503E-5</v>
      </c>
      <c r="O75" s="170">
        <v>15.99147121535181</v>
      </c>
      <c r="P75" s="521">
        <f t="shared" ref="P75" si="63">O75/O$12</f>
        <v>1.1850775038385456E-4</v>
      </c>
      <c r="Q75" s="170">
        <v>15.99147121535181</v>
      </c>
      <c r="R75" s="521">
        <f t="shared" ref="R75" si="64">Q75/Q$12</f>
        <v>9.5436920852779201E-5</v>
      </c>
      <c r="S75" s="170">
        <v>15.99147121535181</v>
      </c>
      <c r="T75" s="521">
        <f t="shared" ref="T75" si="65">S75/S$12</f>
        <v>9.4737824320078991E-5</v>
      </c>
      <c r="U75" s="170">
        <v>15.99147121535181</v>
      </c>
      <c r="V75" s="521">
        <f t="shared" ref="V75" si="66">U75/U$12</f>
        <v>1.1943651599509087E-4</v>
      </c>
      <c r="W75" s="170">
        <v>15.99147121535181</v>
      </c>
      <c r="X75" s="521">
        <f t="shared" ref="X75" si="67">W75/W$12</f>
        <v>1.1738907107018116E-4</v>
      </c>
      <c r="Y75" s="170">
        <v>15.99147121535181</v>
      </c>
      <c r="Z75" s="521">
        <f t="shared" ref="Z75" si="68">Y75/Y$12</f>
        <v>7.7706962834130964E-5</v>
      </c>
      <c r="AA75" s="510">
        <f t="shared" si="34"/>
        <v>191.89765458422175</v>
      </c>
      <c r="AB75" s="521">
        <f t="shared" ref="AB75" si="69">AA75/AA$12</f>
        <v>1.0007427693949177E-4</v>
      </c>
      <c r="AC75" s="194">
        <f t="shared" si="50"/>
        <v>15.991471215351813</v>
      </c>
      <c r="AD75" s="521">
        <f t="shared" ref="AD75" si="70">AC75/AC$12</f>
        <v>1.0007427693949177E-4</v>
      </c>
      <c r="AE75" s="75"/>
      <c r="AF75" s="158"/>
      <c r="AG75" s="75"/>
      <c r="AH75" s="528"/>
      <c r="AI75" s="244"/>
      <c r="AJ75" s="282"/>
      <c r="AK75" s="53"/>
      <c r="AL75" s="53"/>
      <c r="AM75" s="53"/>
      <c r="AN75" s="53"/>
      <c r="AO75" s="53"/>
      <c r="AR75" s="141"/>
      <c r="AS75" s="53"/>
    </row>
    <row r="76" spans="1:48" ht="15.75" thickBot="1">
      <c r="A76" s="4">
        <v>6199</v>
      </c>
      <c r="B76" s="109" t="s">
        <v>24</v>
      </c>
      <c r="C76" s="27">
        <f>SUM(C42:C75)</f>
        <v>28468.612754086709</v>
      </c>
      <c r="D76" s="68">
        <f>C76/C12</f>
        <v>0.19739438334017492</v>
      </c>
      <c r="E76" s="27">
        <f>SUM(E42:E75)</f>
        <v>27218.61608742004</v>
      </c>
      <c r="F76" s="68">
        <f>E76/E12</f>
        <v>0.2425794594928497</v>
      </c>
      <c r="G76" s="27">
        <f>SUM(G42:G75)</f>
        <v>27218.612754086709</v>
      </c>
      <c r="H76" s="68">
        <f>G76/G12</f>
        <v>0.1462398760115145</v>
      </c>
      <c r="I76" s="27">
        <f>SUM(I42:I75)</f>
        <v>37369.616087420043</v>
      </c>
      <c r="J76" s="68">
        <f>I76/I12</f>
        <v>0.22738435565822024</v>
      </c>
      <c r="K76" s="27">
        <f>SUM(K42:K75)</f>
        <v>27618.532754086707</v>
      </c>
      <c r="L76" s="68">
        <f>K76/K12</f>
        <v>0.1837428537874527</v>
      </c>
      <c r="M76" s="27">
        <f>SUM(M42:M75)</f>
        <v>27618.532754086707</v>
      </c>
      <c r="N76" s="68">
        <f>M76/M12</f>
        <v>0.12958014859009687</v>
      </c>
      <c r="O76" s="27">
        <f>SUM(O42:O75)</f>
        <v>28775.869420753374</v>
      </c>
      <c r="P76" s="68">
        <f>O76/O12</f>
        <v>0.21324889401791111</v>
      </c>
      <c r="Q76" s="27">
        <f>SUM(Q42:Q75)</f>
        <v>28775.869420753374</v>
      </c>
      <c r="R76" s="68">
        <f>Q76/Q12</f>
        <v>0.17173406595272611</v>
      </c>
      <c r="S76" s="27">
        <f>SUM(S42:S75)</f>
        <v>28775.869420753374</v>
      </c>
      <c r="T76" s="68">
        <f>S76/S12</f>
        <v>0.1704760759737822</v>
      </c>
      <c r="U76" s="27">
        <f>SUM(U42:U75)</f>
        <v>28475.869420753374</v>
      </c>
      <c r="V76" s="68">
        <f>U76/U12</f>
        <v>0.2126795332177388</v>
      </c>
      <c r="W76" s="27">
        <f>SUM(W42:W75)</f>
        <v>28475.869420753374</v>
      </c>
      <c r="X76" s="68">
        <f>W76/W12</f>
        <v>0.20903366639643331</v>
      </c>
      <c r="Y76" s="27">
        <f>SUM(Y42:Y75)</f>
        <v>28475.869420753374</v>
      </c>
      <c r="Z76" s="68">
        <f>Y76/Y12</f>
        <v>0.13837209203264467</v>
      </c>
      <c r="AA76" s="27">
        <f>SUM(AA42:AA75)</f>
        <v>347267.73971570714</v>
      </c>
      <c r="AB76" s="68">
        <f>AA76/AA12</f>
        <v>0.18109949301755798</v>
      </c>
      <c r="AC76" s="27">
        <f>SUM(AC42:AC75)</f>
        <v>28938.978309642262</v>
      </c>
      <c r="AD76" s="68">
        <f>AC76/AC12</f>
        <v>0.18109949301755798</v>
      </c>
      <c r="AE76" s="75"/>
      <c r="AF76" s="158"/>
      <c r="AG76" s="75"/>
      <c r="AH76" s="200">
        <f>SUM(AH42:AH69)</f>
        <v>135144.62900000002</v>
      </c>
      <c r="AI76" s="248">
        <f>AH76/AH12</f>
        <v>0.16783354299388817</v>
      </c>
      <c r="AJ76" s="286">
        <f t="shared" si="35"/>
        <v>511351.34702534945</v>
      </c>
      <c r="AK76" s="53">
        <f t="shared" si="36"/>
        <v>0</v>
      </c>
      <c r="AL76" s="53">
        <f t="shared" ref="AL76:AL149" si="71">C76+E76+G76+I76+K76+M76+O76+Q76+S76+U76+W76+Y76</f>
        <v>347267.7397157072</v>
      </c>
      <c r="AM76" s="53">
        <f t="shared" si="32"/>
        <v>2740856.8022174835</v>
      </c>
      <c r="AN76" s="53" t="e">
        <f>#REF!-AM76</f>
        <v>#REF!</v>
      </c>
      <c r="AO76" s="53"/>
      <c r="AS76" s="53">
        <f t="shared" ref="AS76:AS148" si="72">Q76*9.4</f>
        <v>270493.17255508172</v>
      </c>
    </row>
    <row r="77" spans="1:48" ht="15.75" thickTop="1">
      <c r="A77" s="98">
        <v>6201</v>
      </c>
      <c r="B77" s="108" t="s">
        <v>25</v>
      </c>
      <c r="C77" s="523">
        <v>7980</v>
      </c>
      <c r="D77" s="49">
        <f>C77/C12</f>
        <v>5.5331364146940135E-2</v>
      </c>
      <c r="E77" s="523">
        <v>7980</v>
      </c>
      <c r="F77" s="49">
        <f>E77/E12</f>
        <v>7.1119857105726464E-2</v>
      </c>
      <c r="G77" s="523">
        <v>7980</v>
      </c>
      <c r="H77" s="49">
        <f>G77/G12</f>
        <v>4.2874859975979805E-2</v>
      </c>
      <c r="I77" s="523">
        <v>7980</v>
      </c>
      <c r="J77" s="49">
        <f>I77/I12</f>
        <v>4.8556216202698232E-2</v>
      </c>
      <c r="K77" s="523">
        <v>7980</v>
      </c>
      <c r="L77" s="49">
        <f>K77/K12</f>
        <v>5.3090002509525391E-2</v>
      </c>
      <c r="M77" s="523">
        <v>7980</v>
      </c>
      <c r="N77" s="49">
        <f>M77/M12</f>
        <v>3.7440424332315946E-2</v>
      </c>
      <c r="O77" s="523">
        <v>7980</v>
      </c>
      <c r="P77" s="49">
        <f>O77/O12</f>
        <v>5.9137263565549575E-2</v>
      </c>
      <c r="Q77" s="523">
        <v>7980</v>
      </c>
      <c r="R77" s="49">
        <f>Q77/Q12</f>
        <v>4.7624550496270471E-2</v>
      </c>
      <c r="S77" s="523">
        <v>7980</v>
      </c>
      <c r="T77" s="49">
        <f>S77/S12</f>
        <v>4.7275690140908544E-2</v>
      </c>
      <c r="U77" s="523">
        <v>7980</v>
      </c>
      <c r="V77" s="49">
        <f>U77/U12</f>
        <v>5.9600732465806272E-2</v>
      </c>
      <c r="W77" s="523">
        <v>7980</v>
      </c>
      <c r="X77" s="49">
        <f>W77/W12</f>
        <v>5.857902468915753E-2</v>
      </c>
      <c r="Y77" s="523">
        <v>7980</v>
      </c>
      <c r="Z77" s="168">
        <f>Y77/Y12</f>
        <v>3.8777017765636704E-2</v>
      </c>
      <c r="AA77" s="275">
        <f t="shared" ref="AA77:AA90" si="73">C77+E77+G77+I77+K77+M77+O77+Q77+S77+U77+W77+Y77</f>
        <v>95760</v>
      </c>
      <c r="AB77" s="203">
        <f>AA77/AA12</f>
        <v>4.9938665381237424E-2</v>
      </c>
      <c r="AC77" s="197">
        <f t="shared" ref="AC77:AC149" si="74">AA77/12</f>
        <v>7980</v>
      </c>
      <c r="AD77" s="203">
        <f>AC77/AC12</f>
        <v>4.9938665381237424E-2</v>
      </c>
      <c r="AE77" s="75"/>
      <c r="AF77" s="158"/>
      <c r="AG77" s="75"/>
      <c r="AH77" s="197">
        <v>84307.301999999996</v>
      </c>
      <c r="AI77" s="244">
        <f>AH77/AH12</f>
        <v>0.10469963401146865</v>
      </c>
      <c r="AJ77" s="282">
        <f t="shared" si="35"/>
        <v>188047.302</v>
      </c>
      <c r="AK77" s="53">
        <f t="shared" si="36"/>
        <v>0</v>
      </c>
      <c r="AL77" s="53">
        <f t="shared" si="71"/>
        <v>95760</v>
      </c>
      <c r="AM77" s="53">
        <f t="shared" si="32"/>
        <v>750120</v>
      </c>
      <c r="AN77" s="53" t="e">
        <f>#REF!-AM77</f>
        <v>#REF!</v>
      </c>
      <c r="AO77" s="53"/>
      <c r="AS77" s="53">
        <f t="shared" si="72"/>
        <v>75012</v>
      </c>
    </row>
    <row r="78" spans="1:48">
      <c r="A78" s="2">
        <v>6202</v>
      </c>
      <c r="B78" s="108" t="s">
        <v>26</v>
      </c>
      <c r="C78" s="523">
        <v>2280</v>
      </c>
      <c r="D78" s="49">
        <f>C78/C12</f>
        <v>1.5808961184840039E-2</v>
      </c>
      <c r="E78" s="523">
        <v>2280</v>
      </c>
      <c r="F78" s="49">
        <f>E78/E12</f>
        <v>2.0319959173064703E-2</v>
      </c>
      <c r="G78" s="523">
        <v>2280</v>
      </c>
      <c r="H78" s="49">
        <f>G78/G12</f>
        <v>1.2249959993137088E-2</v>
      </c>
      <c r="I78" s="523">
        <v>2280</v>
      </c>
      <c r="J78" s="49">
        <f>I78/I12</f>
        <v>1.3873204629342351E-2</v>
      </c>
      <c r="K78" s="523">
        <v>2280</v>
      </c>
      <c r="L78" s="49">
        <f>K78/K12</f>
        <v>1.5168572145578683E-2</v>
      </c>
      <c r="M78" s="523">
        <v>2280</v>
      </c>
      <c r="N78" s="49">
        <f>M78/M12</f>
        <v>1.0697264094947414E-2</v>
      </c>
      <c r="O78" s="523">
        <v>2280</v>
      </c>
      <c r="P78" s="49">
        <f>O78/O12</f>
        <v>1.6896361018728451E-2</v>
      </c>
      <c r="Q78" s="523">
        <v>2280</v>
      </c>
      <c r="R78" s="49">
        <f>Q78/Q12</f>
        <v>1.3607014427505849E-2</v>
      </c>
      <c r="S78" s="523">
        <v>2280</v>
      </c>
      <c r="T78" s="49">
        <f>S78/S12</f>
        <v>1.3507340040259583E-2</v>
      </c>
      <c r="U78" s="523">
        <v>2280</v>
      </c>
      <c r="V78" s="49">
        <f>U78/U12</f>
        <v>1.7028780704516078E-2</v>
      </c>
      <c r="W78" s="523">
        <v>2280</v>
      </c>
      <c r="X78" s="49">
        <f>W78/W12</f>
        <v>1.6736864196902151E-2</v>
      </c>
      <c r="Y78" s="523">
        <v>2280</v>
      </c>
      <c r="Z78" s="168">
        <f>Y78/Y12</f>
        <v>1.1079147933039058E-2</v>
      </c>
      <c r="AA78" s="275">
        <f t="shared" si="73"/>
        <v>27360</v>
      </c>
      <c r="AB78" s="203">
        <f>AA78/AA12</f>
        <v>1.4268190108924978E-2</v>
      </c>
      <c r="AC78" s="197">
        <f t="shared" si="74"/>
        <v>2280</v>
      </c>
      <c r="AD78" s="203">
        <f>AC78/AC12</f>
        <v>1.4268190108924978E-2</v>
      </c>
      <c r="AE78" s="75"/>
      <c r="AF78" s="158"/>
      <c r="AG78" s="75"/>
      <c r="AH78" s="197">
        <v>24087.8</v>
      </c>
      <c r="AI78" s="244">
        <f>AH78/AH12</f>
        <v>2.9914180436487629E-2</v>
      </c>
      <c r="AJ78" s="282">
        <f t="shared" si="35"/>
        <v>53727.8</v>
      </c>
      <c r="AK78" s="53">
        <f t="shared" si="36"/>
        <v>0</v>
      </c>
      <c r="AL78" s="53">
        <f t="shared" si="71"/>
        <v>27360</v>
      </c>
      <c r="AM78" s="53">
        <f t="shared" si="32"/>
        <v>214320</v>
      </c>
      <c r="AN78" s="53" t="e">
        <f>#REF!-AM78</f>
        <v>#REF!</v>
      </c>
      <c r="AO78" s="53"/>
      <c r="AS78" s="53">
        <f t="shared" si="72"/>
        <v>21432</v>
      </c>
    </row>
    <row r="79" spans="1:48">
      <c r="A79" s="2">
        <v>6203</v>
      </c>
      <c r="B79" s="108" t="s">
        <v>27</v>
      </c>
      <c r="C79" s="523">
        <v>1140</v>
      </c>
      <c r="D79" s="49">
        <f>C79/C12</f>
        <v>7.9044805924200195E-3</v>
      </c>
      <c r="E79" s="523">
        <v>1140</v>
      </c>
      <c r="F79" s="49">
        <f>E79/E12</f>
        <v>1.0159979586532352E-2</v>
      </c>
      <c r="G79" s="523">
        <v>1140</v>
      </c>
      <c r="H79" s="49">
        <f>G79/G12</f>
        <v>6.1249799965685438E-3</v>
      </c>
      <c r="I79" s="523">
        <v>1140</v>
      </c>
      <c r="J79" s="49">
        <f>I79/I12</f>
        <v>6.9366023146711754E-3</v>
      </c>
      <c r="K79" s="523">
        <v>1140</v>
      </c>
      <c r="L79" s="49">
        <f>K79/K12</f>
        <v>7.5842860727893414E-3</v>
      </c>
      <c r="M79" s="523">
        <v>1140</v>
      </c>
      <c r="N79" s="49">
        <f>M79/M12</f>
        <v>5.3486320474737071E-3</v>
      </c>
      <c r="O79" s="523">
        <v>1140</v>
      </c>
      <c r="P79" s="49">
        <f>O79/O12</f>
        <v>8.4481805093642257E-3</v>
      </c>
      <c r="Q79" s="523">
        <v>1140</v>
      </c>
      <c r="R79" s="49">
        <f>Q79/Q12</f>
        <v>6.8035072137529245E-3</v>
      </c>
      <c r="S79" s="523">
        <v>1140</v>
      </c>
      <c r="T79" s="49">
        <f>S79/S12</f>
        <v>6.7536700201297917E-3</v>
      </c>
      <c r="U79" s="523">
        <v>1140</v>
      </c>
      <c r="V79" s="49">
        <f>U79/U12</f>
        <v>8.5143903522580389E-3</v>
      </c>
      <c r="W79" s="523">
        <v>1140</v>
      </c>
      <c r="X79" s="49">
        <f>W79/W12</f>
        <v>8.3684320984510757E-3</v>
      </c>
      <c r="Y79" s="523">
        <v>1140</v>
      </c>
      <c r="Z79" s="168">
        <f>Y79/Y12</f>
        <v>5.5395739665195292E-3</v>
      </c>
      <c r="AA79" s="275">
        <f t="shared" si="73"/>
        <v>13680</v>
      </c>
      <c r="AB79" s="203">
        <f>AA79/AA12</f>
        <v>7.1340950544624892E-3</v>
      </c>
      <c r="AC79" s="197">
        <f t="shared" si="74"/>
        <v>1140</v>
      </c>
      <c r="AD79" s="203">
        <f>AC79/AC12</f>
        <v>7.1340950544624892E-3</v>
      </c>
      <c r="AE79" s="75"/>
      <c r="AF79" s="158"/>
      <c r="AG79" s="75"/>
      <c r="AH79" s="197">
        <v>12043.9</v>
      </c>
      <c r="AI79" s="244">
        <f>AH79/AH12</f>
        <v>1.4957090218243815E-2</v>
      </c>
      <c r="AJ79" s="282">
        <f t="shared" si="35"/>
        <v>26863.9</v>
      </c>
      <c r="AK79" s="53">
        <f t="shared" si="36"/>
        <v>0</v>
      </c>
      <c r="AL79" s="53">
        <f t="shared" si="71"/>
        <v>13680</v>
      </c>
      <c r="AM79" s="53">
        <f t="shared" si="32"/>
        <v>107160</v>
      </c>
      <c r="AN79" s="53" t="e">
        <f>#REF!-AM79</f>
        <v>#REF!</v>
      </c>
      <c r="AO79" s="53"/>
      <c r="AS79" s="53">
        <f t="shared" si="72"/>
        <v>10716</v>
      </c>
    </row>
    <row r="80" spans="1:48">
      <c r="A80" s="2">
        <v>6204</v>
      </c>
      <c r="B80" s="108" t="s">
        <v>28</v>
      </c>
      <c r="C80" s="524">
        <v>0</v>
      </c>
      <c r="D80" s="49">
        <f>C80/C12</f>
        <v>0</v>
      </c>
      <c r="E80" s="524">
        <v>0</v>
      </c>
      <c r="F80" s="49">
        <f>E80/E12</f>
        <v>0</v>
      </c>
      <c r="G80" s="524">
        <v>0</v>
      </c>
      <c r="H80" s="49">
        <f>G80/G12</f>
        <v>0</v>
      </c>
      <c r="I80" s="524">
        <v>0</v>
      </c>
      <c r="J80" s="49">
        <f>I80/I12</f>
        <v>0</v>
      </c>
      <c r="K80" s="524">
        <v>0</v>
      </c>
      <c r="L80" s="49">
        <f>K80/K12</f>
        <v>0</v>
      </c>
      <c r="M80" s="524">
        <v>0</v>
      </c>
      <c r="N80" s="49">
        <f>M80/M12</f>
        <v>0</v>
      </c>
      <c r="O80" s="524">
        <v>0</v>
      </c>
      <c r="P80" s="49">
        <f>O80/O12</f>
        <v>0</v>
      </c>
      <c r="Q80" s="524">
        <v>0</v>
      </c>
      <c r="R80" s="49">
        <f>Q80/Q12</f>
        <v>0</v>
      </c>
      <c r="S80" s="524">
        <v>0</v>
      </c>
      <c r="T80" s="49">
        <f>S80/S12</f>
        <v>0</v>
      </c>
      <c r="U80" s="524">
        <v>0</v>
      </c>
      <c r="V80" s="49">
        <f>U80/U12</f>
        <v>0</v>
      </c>
      <c r="W80" s="524">
        <v>0</v>
      </c>
      <c r="X80" s="49">
        <f>W80/W12</f>
        <v>0</v>
      </c>
      <c r="Y80" s="524">
        <v>0</v>
      </c>
      <c r="Z80" s="168">
        <f>Y80/Y12</f>
        <v>0</v>
      </c>
      <c r="AA80" s="275">
        <f t="shared" si="73"/>
        <v>0</v>
      </c>
      <c r="AB80" s="203">
        <f>AA80/AA12</f>
        <v>0</v>
      </c>
      <c r="AC80" s="194">
        <f t="shared" si="74"/>
        <v>0</v>
      </c>
      <c r="AD80" s="203">
        <f>AC80/AC12</f>
        <v>0</v>
      </c>
      <c r="AE80" s="75"/>
      <c r="AF80" s="158"/>
      <c r="AG80" s="75"/>
      <c r="AH80" s="194">
        <v>0</v>
      </c>
      <c r="AI80" s="244">
        <f>AH80/AH12</f>
        <v>0</v>
      </c>
      <c r="AJ80" s="282">
        <f t="shared" si="35"/>
        <v>0</v>
      </c>
      <c r="AK80" s="53">
        <f t="shared" si="36"/>
        <v>0</v>
      </c>
      <c r="AL80" s="53">
        <f t="shared" si="71"/>
        <v>0</v>
      </c>
      <c r="AM80" s="53">
        <f t="shared" si="32"/>
        <v>0</v>
      </c>
      <c r="AN80" s="53" t="e">
        <f>#REF!-AM80</f>
        <v>#REF!</v>
      </c>
      <c r="AO80" s="53"/>
      <c r="AS80" s="53">
        <f t="shared" si="72"/>
        <v>0</v>
      </c>
    </row>
    <row r="81" spans="1:45">
      <c r="A81" s="2">
        <v>6205</v>
      </c>
      <c r="B81" s="108" t="s">
        <v>29</v>
      </c>
      <c r="C81" s="524">
        <v>0</v>
      </c>
      <c r="D81" s="49">
        <f>C81/C12</f>
        <v>0</v>
      </c>
      <c r="E81" s="524">
        <v>0</v>
      </c>
      <c r="F81" s="49">
        <f>E81/E12</f>
        <v>0</v>
      </c>
      <c r="G81" s="524">
        <v>0</v>
      </c>
      <c r="H81" s="49">
        <f>G81/G12</f>
        <v>0</v>
      </c>
      <c r="I81" s="524">
        <v>0</v>
      </c>
      <c r="J81" s="49">
        <f>I81/I12</f>
        <v>0</v>
      </c>
      <c r="K81" s="524">
        <v>0</v>
      </c>
      <c r="L81" s="49">
        <f>K81/K12</f>
        <v>0</v>
      </c>
      <c r="M81" s="524">
        <v>0</v>
      </c>
      <c r="N81" s="49">
        <f>M81/M12</f>
        <v>0</v>
      </c>
      <c r="O81" s="524">
        <v>0</v>
      </c>
      <c r="P81" s="49">
        <f>O81/O12</f>
        <v>0</v>
      </c>
      <c r="Q81" s="524">
        <v>0</v>
      </c>
      <c r="R81" s="49">
        <f>Q81/Q12</f>
        <v>0</v>
      </c>
      <c r="S81" s="524">
        <v>0</v>
      </c>
      <c r="T81" s="49">
        <f>S81/S12</f>
        <v>0</v>
      </c>
      <c r="U81" s="524">
        <v>0</v>
      </c>
      <c r="V81" s="49">
        <f>U81/U12</f>
        <v>0</v>
      </c>
      <c r="W81" s="524">
        <v>0</v>
      </c>
      <c r="X81" s="49">
        <f>W81/W12</f>
        <v>0</v>
      </c>
      <c r="Y81" s="524">
        <v>0</v>
      </c>
      <c r="Z81" s="168">
        <f>Y81/Y12</f>
        <v>0</v>
      </c>
      <c r="AA81" s="275">
        <f t="shared" si="73"/>
        <v>0</v>
      </c>
      <c r="AB81" s="203">
        <f>AA81/AA12</f>
        <v>0</v>
      </c>
      <c r="AC81" s="194">
        <f t="shared" si="74"/>
        <v>0</v>
      </c>
      <c r="AD81" s="203">
        <f>AC81/AC12</f>
        <v>0</v>
      </c>
      <c r="AE81" s="75"/>
      <c r="AF81" s="158"/>
      <c r="AG81" s="75"/>
      <c r="AH81" s="194">
        <v>0</v>
      </c>
      <c r="AI81" s="244">
        <f>AH81/AH12</f>
        <v>0</v>
      </c>
      <c r="AJ81" s="282">
        <f t="shared" si="35"/>
        <v>0</v>
      </c>
      <c r="AK81" s="53">
        <f t="shared" si="36"/>
        <v>0</v>
      </c>
      <c r="AL81" s="53">
        <f t="shared" si="71"/>
        <v>0</v>
      </c>
      <c r="AM81" s="53">
        <f t="shared" ref="AM81:AM147" si="75">G81*9.4+I81*9.4+K81*9.4+M81*9.4+O81*9.4+Q81*9.4+S81*9.4+U81*9.4+W81*9.4+Y81*9.4</f>
        <v>0</v>
      </c>
      <c r="AN81" s="53" t="e">
        <f>#REF!-AM81</f>
        <v>#REF!</v>
      </c>
      <c r="AO81" s="53"/>
      <c r="AS81" s="53">
        <f t="shared" si="72"/>
        <v>0</v>
      </c>
    </row>
    <row r="82" spans="1:45">
      <c r="A82" s="2">
        <v>6206</v>
      </c>
      <c r="B82" s="2" t="s">
        <v>174</v>
      </c>
      <c r="C82" s="524">
        <v>50.075999999999993</v>
      </c>
      <c r="D82" s="49">
        <f>C82/C12</f>
        <v>3.4721471065440776E-4</v>
      </c>
      <c r="E82" s="524">
        <v>50.075999999999993</v>
      </c>
      <c r="F82" s="49">
        <f>E82/E12</f>
        <v>4.4629047173262628E-4</v>
      </c>
      <c r="G82" s="524">
        <v>50.075999999999993</v>
      </c>
      <c r="H82" s="49">
        <f>G82/G12</f>
        <v>2.6904780553347924E-4</v>
      </c>
      <c r="I82" s="524">
        <v>50.075999999999993</v>
      </c>
      <c r="J82" s="49">
        <f>I82/I12</f>
        <v>3.0469938378024014E-4</v>
      </c>
      <c r="K82" s="524">
        <v>50.075999999999993</v>
      </c>
      <c r="L82" s="49">
        <f>K82/K12</f>
        <v>3.3314974507105176E-4</v>
      </c>
      <c r="M82" s="524">
        <v>50.075999999999993</v>
      </c>
      <c r="N82" s="49">
        <f>M82/M12</f>
        <v>2.3494570035902923E-4</v>
      </c>
      <c r="O82" s="524">
        <v>50.075999999999993</v>
      </c>
      <c r="P82" s="49">
        <f>O82/O12</f>
        <v>3.7109744490080953E-4</v>
      </c>
      <c r="Q82" s="524">
        <v>50.075999999999993</v>
      </c>
      <c r="R82" s="49">
        <f>Q82/Q12</f>
        <v>2.9885300634727315E-4</v>
      </c>
      <c r="S82" s="524">
        <v>50.075999999999993</v>
      </c>
      <c r="T82" s="49">
        <f>S82/S12</f>
        <v>2.966638420421223E-4</v>
      </c>
      <c r="U82" s="524">
        <v>50.075999999999993</v>
      </c>
      <c r="V82" s="49">
        <f>U82/U12</f>
        <v>3.7400579936813463E-4</v>
      </c>
      <c r="W82" s="524">
        <v>50.075999999999993</v>
      </c>
      <c r="X82" s="49">
        <f>W82/W12</f>
        <v>3.6759439101932982E-4</v>
      </c>
      <c r="Y82" s="524">
        <v>50.075999999999993</v>
      </c>
      <c r="Z82" s="168">
        <f>Y82/Y12</f>
        <v>2.4333307539248412E-4</v>
      </c>
      <c r="AA82" s="275">
        <f>C82+E82+G82+I82+K82+M82+O82+Q82+S82+U82+W82+Y82</f>
        <v>600.91200000000003</v>
      </c>
      <c r="AB82" s="203">
        <f>AA82/AA12</f>
        <v>3.1337451223444176E-4</v>
      </c>
      <c r="AC82" s="194">
        <f t="shared" si="74"/>
        <v>50.076000000000001</v>
      </c>
      <c r="AD82" s="203">
        <f>AC82/AC12</f>
        <v>3.1337451223444176E-4</v>
      </c>
      <c r="AE82" s="75"/>
      <c r="AF82" s="158"/>
      <c r="AG82" s="75"/>
      <c r="AH82" s="194">
        <v>0</v>
      </c>
      <c r="AI82" s="244">
        <f>AH82/AH12</f>
        <v>0</v>
      </c>
      <c r="AJ82" s="282">
        <f t="shared" si="35"/>
        <v>650.98800000000006</v>
      </c>
      <c r="AK82" s="53">
        <f t="shared" si="36"/>
        <v>0</v>
      </c>
      <c r="AL82" s="53">
        <f>C82+E82+G82+I82+K82+M82+O82+Q82+S82+U82+W82+Y82</f>
        <v>600.91200000000003</v>
      </c>
      <c r="AM82" s="53">
        <f>G82*9.4+I82*9.4+K82*9.4+M82*9.4+O82*9.4+Q82*9.4+S82*9.4+U82*9.4+W82*9.4+Y82*9.4</f>
        <v>4707.1439999999993</v>
      </c>
      <c r="AN82" s="53" t="e">
        <f>#REF!-AM82</f>
        <v>#REF!</v>
      </c>
      <c r="AO82" s="53" t="s">
        <v>213</v>
      </c>
      <c r="AS82" s="53">
        <f t="shared" si="72"/>
        <v>470.71439999999996</v>
      </c>
    </row>
    <row r="83" spans="1:45">
      <c r="A83" s="2">
        <v>6207</v>
      </c>
      <c r="B83" s="2" t="s">
        <v>175</v>
      </c>
      <c r="C83" s="524">
        <v>275</v>
      </c>
      <c r="D83" s="49">
        <f>C83/C12</f>
        <v>1.9067825990486888E-3</v>
      </c>
      <c r="E83" s="524">
        <v>275</v>
      </c>
      <c r="F83" s="49">
        <f>E83/E12</f>
        <v>2.4508722686810498E-3</v>
      </c>
      <c r="G83" s="524">
        <v>275</v>
      </c>
      <c r="H83" s="49">
        <f>G83/G12</f>
        <v>1.4775171044353944E-3</v>
      </c>
      <c r="I83" s="524">
        <v>275</v>
      </c>
      <c r="J83" s="49">
        <f>I83/I12</f>
        <v>1.6733031899426082E-3</v>
      </c>
      <c r="K83" s="524">
        <v>275</v>
      </c>
      <c r="L83" s="49">
        <f>K83/K12</f>
        <v>1.8295426929974289E-3</v>
      </c>
      <c r="M83" s="524">
        <v>275</v>
      </c>
      <c r="N83" s="521">
        <f>M83/M12</f>
        <v>1.2902401868905872E-3</v>
      </c>
      <c r="O83" s="524">
        <v>275</v>
      </c>
      <c r="P83" s="49">
        <f>O83/O12</f>
        <v>2.037938280767686E-3</v>
      </c>
      <c r="Q83" s="524">
        <v>275</v>
      </c>
      <c r="R83" s="49">
        <f>Q83/Q12</f>
        <v>1.6411969155982931E-3</v>
      </c>
      <c r="S83" s="524">
        <v>275</v>
      </c>
      <c r="T83" s="49">
        <f>S83/S12</f>
        <v>1.6291747855576252E-3</v>
      </c>
      <c r="U83" s="524">
        <v>275</v>
      </c>
      <c r="V83" s="49">
        <f>U83/U12</f>
        <v>2.0539099533955795E-3</v>
      </c>
      <c r="W83" s="524">
        <v>275</v>
      </c>
      <c r="X83" s="49">
        <f>W83/W12</f>
        <v>2.0187007255035487E-3</v>
      </c>
      <c r="Y83" s="524">
        <v>275</v>
      </c>
      <c r="Z83" s="168">
        <f>Y83/Y12</f>
        <v>1.3363007375376058E-3</v>
      </c>
      <c r="AA83" s="275">
        <f t="shared" si="73"/>
        <v>3300</v>
      </c>
      <c r="AB83" s="203">
        <f>AA83/AA12</f>
        <v>1.7209439824361268E-3</v>
      </c>
      <c r="AC83" s="194">
        <f>AA83/12</f>
        <v>275</v>
      </c>
      <c r="AD83" s="203">
        <f>AC83/AC12</f>
        <v>1.7209439824361268E-3</v>
      </c>
      <c r="AE83" s="75"/>
      <c r="AF83" s="158"/>
      <c r="AG83" s="75"/>
      <c r="AH83" s="194">
        <v>1135.0999999999999</v>
      </c>
      <c r="AI83" s="244">
        <f>AH83/AH12</f>
        <v>1.4096590893920202E-3</v>
      </c>
      <c r="AJ83" s="282">
        <f t="shared" si="35"/>
        <v>4710.1000000000004</v>
      </c>
      <c r="AK83" s="53">
        <f t="shared" si="36"/>
        <v>0</v>
      </c>
      <c r="AL83" s="53">
        <f t="shared" si="71"/>
        <v>3300</v>
      </c>
      <c r="AM83" s="53">
        <f t="shared" si="75"/>
        <v>25850</v>
      </c>
      <c r="AN83" s="53" t="e">
        <f>#REF!-AM83</f>
        <v>#REF!</v>
      </c>
      <c r="AO83" s="53">
        <v>42.86</v>
      </c>
      <c r="AS83" s="53">
        <f t="shared" si="72"/>
        <v>2585</v>
      </c>
    </row>
    <row r="84" spans="1:45">
      <c r="A84" s="2">
        <v>6208</v>
      </c>
      <c r="B84" s="2" t="s">
        <v>176</v>
      </c>
      <c r="C84" s="524">
        <v>0</v>
      </c>
      <c r="D84" s="49">
        <f>C84/C12</f>
        <v>0</v>
      </c>
      <c r="E84" s="524">
        <v>0</v>
      </c>
      <c r="F84" s="49">
        <f>E84/E12</f>
        <v>0</v>
      </c>
      <c r="G84" s="524">
        <v>0</v>
      </c>
      <c r="H84" s="49">
        <f>G84/G12</f>
        <v>0</v>
      </c>
      <c r="I84" s="524">
        <v>0</v>
      </c>
      <c r="J84" s="49">
        <f>I84/I12</f>
        <v>0</v>
      </c>
      <c r="K84" s="524">
        <v>0</v>
      </c>
      <c r="L84" s="49">
        <f>K84/K12</f>
        <v>0</v>
      </c>
      <c r="M84" s="524">
        <v>0</v>
      </c>
      <c r="N84" s="49">
        <f>M84/M12</f>
        <v>0</v>
      </c>
      <c r="O84" s="524">
        <v>0</v>
      </c>
      <c r="P84" s="49">
        <f>O84/O12</f>
        <v>0</v>
      </c>
      <c r="Q84" s="524">
        <v>0</v>
      </c>
      <c r="R84" s="49">
        <f>Q84/Q12</f>
        <v>0</v>
      </c>
      <c r="S84" s="524">
        <v>0</v>
      </c>
      <c r="T84" s="49">
        <f>S84/S12</f>
        <v>0</v>
      </c>
      <c r="U84" s="524">
        <v>0</v>
      </c>
      <c r="V84" s="49">
        <f>U84/U12</f>
        <v>0</v>
      </c>
      <c r="W84" s="524">
        <v>0</v>
      </c>
      <c r="X84" s="49">
        <f>W84/W12</f>
        <v>0</v>
      </c>
      <c r="Y84" s="524">
        <v>0</v>
      </c>
      <c r="Z84" s="168">
        <f>Y84/Y12</f>
        <v>0</v>
      </c>
      <c r="AA84" s="275">
        <f t="shared" si="73"/>
        <v>0</v>
      </c>
      <c r="AB84" s="203">
        <f>AA84/AA12</f>
        <v>0</v>
      </c>
      <c r="AC84" s="194">
        <f t="shared" si="74"/>
        <v>0</v>
      </c>
      <c r="AD84" s="203">
        <f>AC84/AC12</f>
        <v>0</v>
      </c>
      <c r="AE84" s="75"/>
      <c r="AF84" s="158"/>
      <c r="AG84" s="75"/>
      <c r="AH84" s="194">
        <v>0</v>
      </c>
      <c r="AI84" s="244">
        <f>AH84/AH12</f>
        <v>0</v>
      </c>
      <c r="AJ84" s="282">
        <f t="shared" si="35"/>
        <v>0</v>
      </c>
      <c r="AK84" s="53">
        <f t="shared" si="36"/>
        <v>0</v>
      </c>
      <c r="AL84" s="53">
        <f t="shared" si="71"/>
        <v>0</v>
      </c>
      <c r="AM84" s="53">
        <f t="shared" si="75"/>
        <v>0</v>
      </c>
      <c r="AN84" s="53" t="e">
        <f>#REF!-AM84</f>
        <v>#REF!</v>
      </c>
      <c r="AO84" s="53"/>
      <c r="AS84" s="53">
        <f t="shared" si="72"/>
        <v>0</v>
      </c>
    </row>
    <row r="85" spans="1:45">
      <c r="A85" s="2">
        <v>6209</v>
      </c>
      <c r="B85" s="108" t="s">
        <v>30</v>
      </c>
      <c r="C85" s="524">
        <v>745.83333333333337</v>
      </c>
      <c r="D85" s="49">
        <f>C85/C12</f>
        <v>5.1714255337835654E-3</v>
      </c>
      <c r="E85" s="524">
        <v>745.83333333333337</v>
      </c>
      <c r="F85" s="49">
        <f>E85/E12</f>
        <v>6.6470626680895139E-3</v>
      </c>
      <c r="G85" s="524">
        <v>745.83333333333337</v>
      </c>
      <c r="H85" s="49">
        <f>G85/G12</f>
        <v>4.0072054802111449E-3</v>
      </c>
      <c r="I85" s="524">
        <v>745.83333333333337</v>
      </c>
      <c r="J85" s="49">
        <f>I85/I12</f>
        <v>4.5382010757534378E-3</v>
      </c>
      <c r="K85" s="524">
        <v>745.83333333333337</v>
      </c>
      <c r="L85" s="49">
        <f>K85/K12</f>
        <v>4.961941546159694E-3</v>
      </c>
      <c r="M85" s="524">
        <v>745.83333333333337</v>
      </c>
      <c r="N85" s="49">
        <f>M85/M12</f>
        <v>3.4992877795971987E-3</v>
      </c>
      <c r="O85" s="524">
        <v>745.83333333333337</v>
      </c>
      <c r="P85" s="49">
        <f>O85/O12</f>
        <v>5.5271356402638756E-3</v>
      </c>
      <c r="Q85" s="524">
        <v>745.83333333333337</v>
      </c>
      <c r="R85" s="49">
        <f>Q85/Q12</f>
        <v>4.4511249680620375E-3</v>
      </c>
      <c r="S85" s="524">
        <v>745.83333333333337</v>
      </c>
      <c r="T85" s="49">
        <f>S85/S12</f>
        <v>4.4185194941638627E-3</v>
      </c>
      <c r="U85" s="524">
        <v>745.83333333333337</v>
      </c>
      <c r="V85" s="49">
        <f>U85/U12</f>
        <v>5.5704527523910419E-3</v>
      </c>
      <c r="W85" s="524">
        <v>745.83333333333337</v>
      </c>
      <c r="X85" s="49">
        <f>W85/W12</f>
        <v>5.474961058562656E-3</v>
      </c>
      <c r="Y85" s="524">
        <v>745.83333333333337</v>
      </c>
      <c r="Z85" s="168">
        <f>Y85/Y12</f>
        <v>3.6242095760489613E-3</v>
      </c>
      <c r="AA85" s="275">
        <f t="shared" si="73"/>
        <v>8950</v>
      </c>
      <c r="AB85" s="203">
        <f>AA85/AA12</f>
        <v>4.6674086796373738E-3</v>
      </c>
      <c r="AC85" s="194">
        <f t="shared" si="74"/>
        <v>745.83333333333337</v>
      </c>
      <c r="AD85" s="203">
        <f>AC85/AC12</f>
        <v>4.6674086796373747E-3</v>
      </c>
      <c r="AE85" s="75"/>
      <c r="AF85" s="158"/>
      <c r="AG85" s="75"/>
      <c r="AH85" s="194">
        <v>7806.3899999999994</v>
      </c>
      <c r="AI85" s="244">
        <f>AH85/AH12</f>
        <v>9.6946071877710982E-3</v>
      </c>
      <c r="AJ85" s="282">
        <f t="shared" si="35"/>
        <v>17502.223333333335</v>
      </c>
      <c r="AK85" s="53">
        <f t="shared" si="36"/>
        <v>0</v>
      </c>
      <c r="AL85" s="53">
        <f t="shared" si="71"/>
        <v>8950</v>
      </c>
      <c r="AM85" s="53">
        <f t="shared" si="75"/>
        <v>70108.333333333343</v>
      </c>
      <c r="AN85" s="53" t="e">
        <f>#REF!-AM85</f>
        <v>#REF!</v>
      </c>
      <c r="AO85" s="53"/>
      <c r="AS85" s="53">
        <f t="shared" si="72"/>
        <v>7010.8333333333339</v>
      </c>
    </row>
    <row r="86" spans="1:45">
      <c r="A86" s="2">
        <v>6210</v>
      </c>
      <c r="B86" s="108" t="s">
        <v>31</v>
      </c>
      <c r="C86" s="524">
        <v>271.68009669621279</v>
      </c>
      <c r="D86" s="49">
        <f>C86/C12</f>
        <v>1.8837632032298317E-3</v>
      </c>
      <c r="E86" s="524">
        <v>271.68009669621279</v>
      </c>
      <c r="F86" s="49">
        <f>E86/E12</f>
        <v>2.4212844179830328E-3</v>
      </c>
      <c r="G86" s="524">
        <v>271.68009669621279</v>
      </c>
      <c r="H86" s="49">
        <f>G86/G12</f>
        <v>1.4596799629211499E-3</v>
      </c>
      <c r="I86" s="524">
        <v>271.68009669621279</v>
      </c>
      <c r="J86" s="49">
        <f>I86/I12</f>
        <v>1.6531024452570513E-3</v>
      </c>
      <c r="K86" s="524">
        <v>271.68009669621279</v>
      </c>
      <c r="L86" s="49">
        <f>K86/K12</f>
        <v>1.8074557663396037E-3</v>
      </c>
      <c r="M86" s="524">
        <v>271.68009669621279</v>
      </c>
      <c r="N86" s="49">
        <f>M86/M12</f>
        <v>1.2746639226755433E-3</v>
      </c>
      <c r="O86" s="524">
        <v>271.68009669621279</v>
      </c>
      <c r="P86" s="49">
        <f>O86/O12</f>
        <v>2.0133355242904676E-3</v>
      </c>
      <c r="Q86" s="524">
        <v>271.68009669621279</v>
      </c>
      <c r="R86" s="49">
        <f>Q86/Q12</f>
        <v>1.6213837699173472E-3</v>
      </c>
      <c r="S86" s="524">
        <v>271.68009669621279</v>
      </c>
      <c r="T86" s="49">
        <f>S86/S12</f>
        <v>1.609506775546645E-3</v>
      </c>
      <c r="U86" s="524">
        <v>271.68009669621279</v>
      </c>
      <c r="V86" s="49">
        <f>U86/U12</f>
        <v>2.0291143808866363E-3</v>
      </c>
      <c r="W86" s="524">
        <v>271.68009669621279</v>
      </c>
      <c r="X86" s="49">
        <f>W86/W12</f>
        <v>1.9943302120200694E-3</v>
      </c>
      <c r="Y86" s="524">
        <v>271.68009669621279</v>
      </c>
      <c r="Z86" s="168">
        <f>Y86/Y12</f>
        <v>1.3201684130524989E-3</v>
      </c>
      <c r="AA86" s="275">
        <f t="shared" si="73"/>
        <v>3260.1611603545534</v>
      </c>
      <c r="AB86" s="203">
        <f>AA86/AA12</f>
        <v>1.7001681002073179E-3</v>
      </c>
      <c r="AC86" s="194">
        <f t="shared" si="74"/>
        <v>271.68009669621279</v>
      </c>
      <c r="AD86" s="203">
        <f>AC86/AC12</f>
        <v>1.7001681002073179E-3</v>
      </c>
      <c r="AE86" s="75"/>
      <c r="AF86" s="158"/>
      <c r="AG86" s="75"/>
      <c r="AH86" s="194">
        <v>2100.39</v>
      </c>
      <c r="AI86" s="244">
        <f>AH86/AH12</f>
        <v>2.6084343712167259E-3</v>
      </c>
      <c r="AJ86" s="282">
        <f t="shared" si="35"/>
        <v>5632.2312570507656</v>
      </c>
      <c r="AK86" s="53">
        <f t="shared" si="36"/>
        <v>0</v>
      </c>
      <c r="AL86" s="53">
        <f t="shared" si="71"/>
        <v>3260.1611603545534</v>
      </c>
      <c r="AM86" s="53">
        <f t="shared" si="75"/>
        <v>25537.929089444002</v>
      </c>
      <c r="AN86" s="53" t="e">
        <f>#REF!-AM86</f>
        <v>#REF!</v>
      </c>
      <c r="AO86" s="53"/>
      <c r="AS86" s="53">
        <f t="shared" si="72"/>
        <v>2553.7929089444001</v>
      </c>
    </row>
    <row r="87" spans="1:45">
      <c r="A87" s="2">
        <v>6211</v>
      </c>
      <c r="B87" s="108" t="s">
        <v>32</v>
      </c>
      <c r="C87" s="524">
        <v>412.5</v>
      </c>
      <c r="D87" s="49">
        <f>C87/C12</f>
        <v>2.8601738985730334E-3</v>
      </c>
      <c r="E87" s="524">
        <v>412.5</v>
      </c>
      <c r="F87" s="49">
        <f>E87/E12</f>
        <v>3.6763084030215745E-3</v>
      </c>
      <c r="G87" s="524">
        <v>412.5</v>
      </c>
      <c r="H87" s="49">
        <f>G87/G12</f>
        <v>2.2162756566530915E-3</v>
      </c>
      <c r="I87" s="524">
        <v>412.5</v>
      </c>
      <c r="J87" s="49">
        <f>I87/I12</f>
        <v>2.5099547849139121E-3</v>
      </c>
      <c r="K87" s="524">
        <v>412.5</v>
      </c>
      <c r="L87" s="49">
        <f>K87/K12</f>
        <v>2.7443140394961432E-3</v>
      </c>
      <c r="M87" s="524">
        <v>412.5</v>
      </c>
      <c r="N87" s="49">
        <f>M87/M12</f>
        <v>1.9353602803358807E-3</v>
      </c>
      <c r="O87" s="524">
        <v>412.5</v>
      </c>
      <c r="P87" s="49">
        <f>O87/O12</f>
        <v>3.0569074211515288E-3</v>
      </c>
      <c r="Q87" s="524">
        <v>412.5</v>
      </c>
      <c r="R87" s="49">
        <f>Q87/Q12</f>
        <v>2.4617953733974398E-3</v>
      </c>
      <c r="S87" s="524">
        <v>412.5</v>
      </c>
      <c r="T87" s="49">
        <f>S87/S12</f>
        <v>2.443762178336438E-3</v>
      </c>
      <c r="U87" s="524">
        <v>412.5</v>
      </c>
      <c r="V87" s="49">
        <f>U87/U12</f>
        <v>3.0808649300933691E-3</v>
      </c>
      <c r="W87" s="524">
        <v>412.5</v>
      </c>
      <c r="X87" s="49">
        <f>W87/W12</f>
        <v>3.0280510882553235E-3</v>
      </c>
      <c r="Y87" s="524">
        <v>412.5</v>
      </c>
      <c r="Z87" s="168">
        <f>Y87/Y12</f>
        <v>2.0044511063064085E-3</v>
      </c>
      <c r="AA87" s="275">
        <f t="shared" si="73"/>
        <v>4950</v>
      </c>
      <c r="AB87" s="203">
        <f>AA87/AA12</f>
        <v>2.5814159736541904E-3</v>
      </c>
      <c r="AC87" s="194">
        <f t="shared" si="74"/>
        <v>412.5</v>
      </c>
      <c r="AD87" s="203">
        <f>AC87/AC12</f>
        <v>2.5814159736541904E-3</v>
      </c>
      <c r="AE87" s="75"/>
      <c r="AF87" s="158"/>
      <c r="AG87" s="75"/>
      <c r="AH87" s="194">
        <v>2377.6</v>
      </c>
      <c r="AI87" s="244">
        <f>AH87/AH12</f>
        <v>2.9526961949946856E-3</v>
      </c>
      <c r="AJ87" s="282">
        <f t="shared" si="35"/>
        <v>7740.1</v>
      </c>
      <c r="AK87" s="53">
        <f t="shared" si="36"/>
        <v>0</v>
      </c>
      <c r="AL87" s="53">
        <f t="shared" si="71"/>
        <v>4950</v>
      </c>
      <c r="AM87" s="53">
        <f t="shared" si="75"/>
        <v>38775</v>
      </c>
      <c r="AN87" s="53" t="e">
        <f>#REF!-AM87</f>
        <v>#REF!</v>
      </c>
      <c r="AO87" s="53"/>
      <c r="AS87" s="53">
        <f t="shared" si="72"/>
        <v>3877.5</v>
      </c>
    </row>
    <row r="88" spans="1:45">
      <c r="A88" s="98">
        <v>6212</v>
      </c>
      <c r="B88" s="108" t="s">
        <v>33</v>
      </c>
      <c r="C88" s="519">
        <v>25</v>
      </c>
      <c r="D88" s="49">
        <f>C88/C12</f>
        <v>1.7334387264078988E-4</v>
      </c>
      <c r="E88" s="541">
        <v>25</v>
      </c>
      <c r="F88" s="49">
        <f>E88/E12</f>
        <v>2.2280656988009543E-4</v>
      </c>
      <c r="G88" s="541">
        <v>25</v>
      </c>
      <c r="H88" s="49">
        <f>G88/G12</f>
        <v>1.3431973676685403E-4</v>
      </c>
      <c r="I88" s="541">
        <v>25</v>
      </c>
      <c r="J88" s="49">
        <f>I88/I12</f>
        <v>1.5211847181296437E-4</v>
      </c>
      <c r="K88" s="541">
        <v>25</v>
      </c>
      <c r="L88" s="49">
        <f>K88/K12</f>
        <v>1.6632206299976626E-4</v>
      </c>
      <c r="M88" s="541">
        <v>25</v>
      </c>
      <c r="N88" s="49">
        <f>M88/M12</f>
        <v>1.1729456244459884E-4</v>
      </c>
      <c r="O88" s="541">
        <v>25</v>
      </c>
      <c r="P88" s="49">
        <f>O88/O12</f>
        <v>1.85267116433426E-4</v>
      </c>
      <c r="Q88" s="541">
        <v>25</v>
      </c>
      <c r="R88" s="49">
        <f>Q88/Q12</f>
        <v>1.4919971959984483E-4</v>
      </c>
      <c r="S88" s="541">
        <v>25</v>
      </c>
      <c r="T88" s="49">
        <f>S88/S12</f>
        <v>1.4810679868705685E-4</v>
      </c>
      <c r="U88" s="541">
        <v>25</v>
      </c>
      <c r="V88" s="49">
        <f>U88/U12</f>
        <v>1.8671908667232542E-4</v>
      </c>
      <c r="W88" s="541">
        <v>25</v>
      </c>
      <c r="X88" s="49">
        <f>W88/W12</f>
        <v>1.8351824777304991E-4</v>
      </c>
      <c r="Y88" s="541">
        <v>25</v>
      </c>
      <c r="Z88" s="168">
        <f>Y88/Y12</f>
        <v>1.2148188523069143E-4</v>
      </c>
      <c r="AA88" s="275">
        <f t="shared" si="73"/>
        <v>300</v>
      </c>
      <c r="AB88" s="203">
        <f>AA88/AA12</f>
        <v>1.5644945294873881E-4</v>
      </c>
      <c r="AC88" s="196">
        <f t="shared" si="74"/>
        <v>25</v>
      </c>
      <c r="AD88" s="203">
        <f>AC88/AC12</f>
        <v>1.5644945294873881E-4</v>
      </c>
      <c r="AE88" s="75"/>
      <c r="AF88" s="158"/>
      <c r="AG88" s="75"/>
      <c r="AH88" s="196">
        <v>0</v>
      </c>
      <c r="AI88" s="244">
        <f>AH88/AH12</f>
        <v>0</v>
      </c>
      <c r="AJ88" s="282">
        <f t="shared" si="35"/>
        <v>325</v>
      </c>
      <c r="AK88" s="53">
        <f t="shared" si="36"/>
        <v>0</v>
      </c>
      <c r="AL88" s="53">
        <f t="shared" si="71"/>
        <v>300</v>
      </c>
      <c r="AM88" s="53">
        <f t="shared" si="75"/>
        <v>2350</v>
      </c>
      <c r="AN88" s="53" t="e">
        <f>#REF!-AM88</f>
        <v>#REF!</v>
      </c>
      <c r="AO88" s="53"/>
      <c r="AS88" s="53">
        <f t="shared" si="72"/>
        <v>235</v>
      </c>
    </row>
    <row r="89" spans="1:45">
      <c r="A89" s="98">
        <v>6213</v>
      </c>
      <c r="B89" s="108" t="s">
        <v>34</v>
      </c>
      <c r="C89" s="525">
        <v>0</v>
      </c>
      <c r="D89" s="49">
        <f>C89/C12</f>
        <v>0</v>
      </c>
      <c r="E89" s="543">
        <v>0</v>
      </c>
      <c r="F89" s="49">
        <f>E89/E12</f>
        <v>0</v>
      </c>
      <c r="G89" s="543">
        <v>0</v>
      </c>
      <c r="H89" s="49">
        <f>G89/G12</f>
        <v>0</v>
      </c>
      <c r="I89" s="543">
        <v>0</v>
      </c>
      <c r="J89" s="49">
        <f>I89/I12</f>
        <v>0</v>
      </c>
      <c r="K89" s="543">
        <v>0</v>
      </c>
      <c r="L89" s="49">
        <f>K89/K12</f>
        <v>0</v>
      </c>
      <c r="M89" s="543">
        <v>0</v>
      </c>
      <c r="N89" s="49">
        <f>M89/M12</f>
        <v>0</v>
      </c>
      <c r="O89" s="543">
        <v>0</v>
      </c>
      <c r="P89" s="49">
        <f>O89/O12</f>
        <v>0</v>
      </c>
      <c r="Q89" s="543">
        <v>0</v>
      </c>
      <c r="R89" s="49">
        <f>Q89/Q12</f>
        <v>0</v>
      </c>
      <c r="S89" s="543">
        <v>0</v>
      </c>
      <c r="T89" s="49">
        <f>S89/S12</f>
        <v>0</v>
      </c>
      <c r="U89" s="543">
        <v>0</v>
      </c>
      <c r="V89" s="49">
        <f>U89/U12</f>
        <v>0</v>
      </c>
      <c r="W89" s="543">
        <v>0</v>
      </c>
      <c r="X89" s="49">
        <f>W89/W12</f>
        <v>0</v>
      </c>
      <c r="Y89" s="543">
        <v>0</v>
      </c>
      <c r="Z89" s="168">
        <f>Y89/Y12</f>
        <v>0</v>
      </c>
      <c r="AA89" s="275">
        <f t="shared" si="73"/>
        <v>0</v>
      </c>
      <c r="AB89" s="203">
        <f>AA89/AA12</f>
        <v>0</v>
      </c>
      <c r="AC89" s="196">
        <f t="shared" si="74"/>
        <v>0</v>
      </c>
      <c r="AD89" s="203">
        <f>AC89/AC12</f>
        <v>0</v>
      </c>
      <c r="AE89" s="75"/>
      <c r="AF89" s="158"/>
      <c r="AG89" s="75"/>
      <c r="AH89" s="196">
        <v>4000</v>
      </c>
      <c r="AI89" s="244">
        <f>AH89/AH12</f>
        <v>4.967523881215824E-3</v>
      </c>
      <c r="AJ89" s="282">
        <f t="shared" si="35"/>
        <v>4000</v>
      </c>
      <c r="AK89" s="53">
        <f t="shared" si="36"/>
        <v>0</v>
      </c>
      <c r="AL89" s="53">
        <f t="shared" si="71"/>
        <v>0</v>
      </c>
      <c r="AM89" s="53">
        <f t="shared" si="75"/>
        <v>0</v>
      </c>
      <c r="AN89" s="53" t="e">
        <f>#REF!-AM89</f>
        <v>#REF!</v>
      </c>
      <c r="AO89" s="53"/>
      <c r="AS89" s="53">
        <f t="shared" si="72"/>
        <v>0</v>
      </c>
    </row>
    <row r="90" spans="1:45">
      <c r="A90" s="2">
        <v>6214</v>
      </c>
      <c r="B90" s="108" t="s">
        <v>35</v>
      </c>
      <c r="C90" s="525">
        <v>798</v>
      </c>
      <c r="D90" s="49">
        <f>C90/C12</f>
        <v>5.5331364146940136E-3</v>
      </c>
      <c r="E90" s="543">
        <v>798</v>
      </c>
      <c r="F90" s="49">
        <f>E90/E12</f>
        <v>7.1119857105726462E-3</v>
      </c>
      <c r="G90" s="543">
        <v>798</v>
      </c>
      <c r="H90" s="49">
        <f>G90/G12</f>
        <v>4.2874859975979805E-3</v>
      </c>
      <c r="I90" s="543">
        <v>798</v>
      </c>
      <c r="J90" s="49">
        <f>I90/I12</f>
        <v>4.8556216202698226E-3</v>
      </c>
      <c r="K90" s="543">
        <v>798</v>
      </c>
      <c r="L90" s="49">
        <f>K90/K12</f>
        <v>5.3090002509525395E-3</v>
      </c>
      <c r="M90" s="543">
        <v>798</v>
      </c>
      <c r="N90" s="49">
        <f>M90/M12</f>
        <v>3.7440424332315951E-3</v>
      </c>
      <c r="O90" s="543">
        <v>798</v>
      </c>
      <c r="P90" s="49">
        <f>O90/O12</f>
        <v>5.9137263565549577E-3</v>
      </c>
      <c r="Q90" s="543">
        <v>798</v>
      </c>
      <c r="R90" s="49">
        <f>Q90/Q12</f>
        <v>4.7624550496270469E-3</v>
      </c>
      <c r="S90" s="543">
        <v>798</v>
      </c>
      <c r="T90" s="49">
        <f>S90/S12</f>
        <v>4.7275690140908544E-3</v>
      </c>
      <c r="U90" s="543">
        <v>798</v>
      </c>
      <c r="V90" s="49">
        <f>U90/U12</f>
        <v>5.9600732465806272E-3</v>
      </c>
      <c r="W90" s="543">
        <v>798</v>
      </c>
      <c r="X90" s="49">
        <f>W90/W12</f>
        <v>5.8579024689157533E-3</v>
      </c>
      <c r="Y90" s="543">
        <v>798</v>
      </c>
      <c r="Z90" s="168">
        <f>Y90/Y12</f>
        <v>3.8777017765636705E-3</v>
      </c>
      <c r="AA90" s="275">
        <f t="shared" si="73"/>
        <v>9576</v>
      </c>
      <c r="AB90" s="203">
        <f>AA90/AA12</f>
        <v>4.9938665381237422E-3</v>
      </c>
      <c r="AC90" s="196">
        <f t="shared" si="74"/>
        <v>798</v>
      </c>
      <c r="AD90" s="203">
        <f>AC90/AC12</f>
        <v>4.9938665381237422E-3</v>
      </c>
      <c r="AE90" s="75"/>
      <c r="AF90" s="158"/>
      <c r="AG90" s="75"/>
      <c r="AH90" s="196">
        <v>8819.9520000000011</v>
      </c>
      <c r="AI90" s="244">
        <f>AH90/AH12</f>
        <v>1.0953330547794318E-2</v>
      </c>
      <c r="AJ90" s="282">
        <f t="shared" si="35"/>
        <v>19193.952000000001</v>
      </c>
      <c r="AK90" s="53">
        <f t="shared" si="36"/>
        <v>0</v>
      </c>
      <c r="AL90" s="53">
        <f t="shared" si="71"/>
        <v>9576</v>
      </c>
      <c r="AM90" s="53">
        <f t="shared" si="75"/>
        <v>75011.999999999985</v>
      </c>
      <c r="AN90" s="53" t="e">
        <f>#REF!-AM90</f>
        <v>#REF!</v>
      </c>
      <c r="AO90" s="53"/>
      <c r="AS90" s="53">
        <f t="shared" si="72"/>
        <v>7501.2000000000007</v>
      </c>
    </row>
    <row r="91" spans="1:45">
      <c r="A91" s="2">
        <v>6215</v>
      </c>
      <c r="B91" s="108" t="s">
        <v>209</v>
      </c>
      <c r="C91" s="524">
        <v>485.55555555555554</v>
      </c>
      <c r="D91" s="49">
        <f>C91/C12</f>
        <v>3.3667232152900079E-3</v>
      </c>
      <c r="E91" s="524">
        <v>485.55555555555554</v>
      </c>
      <c r="F91" s="49">
        <f>E91/E12</f>
        <v>4.3273987127822981E-3</v>
      </c>
      <c r="G91" s="524">
        <v>485.55555555555554</v>
      </c>
      <c r="H91" s="49">
        <f>G91/G12</f>
        <v>2.6087877763162313E-3</v>
      </c>
      <c r="I91" s="524">
        <v>485.55555555555554</v>
      </c>
      <c r="J91" s="49">
        <f>I91/I12</f>
        <v>2.9544787636562415E-3</v>
      </c>
      <c r="K91" s="524">
        <v>485.55555555555554</v>
      </c>
      <c r="L91" s="49">
        <f>K91/K12</f>
        <v>3.2303440680399049E-3</v>
      </c>
      <c r="M91" s="524">
        <v>485.55555555555554</v>
      </c>
      <c r="N91" s="49">
        <f>M91/M12</f>
        <v>2.2781210572573197E-3</v>
      </c>
      <c r="O91" s="524">
        <v>485.55555555555554</v>
      </c>
      <c r="P91" s="49">
        <f>O91/O12</f>
        <v>3.598299105840318E-3</v>
      </c>
      <c r="Q91" s="524">
        <v>485.55555555555554</v>
      </c>
      <c r="R91" s="49">
        <f>Q91/Q12</f>
        <v>2.8977901095614306E-3</v>
      </c>
      <c r="S91" s="524">
        <v>485.55555555555554</v>
      </c>
      <c r="T91" s="49">
        <f>S91/S12</f>
        <v>2.8765631567219483E-3</v>
      </c>
      <c r="U91" s="524">
        <v>485.55555555555554</v>
      </c>
      <c r="V91" s="49">
        <f>U91/U12</f>
        <v>3.6264995944802758E-3</v>
      </c>
      <c r="W91" s="524">
        <v>485.55555555555554</v>
      </c>
      <c r="X91" s="49">
        <f>W91/W12</f>
        <v>3.5643321900810138E-3</v>
      </c>
      <c r="Y91" s="524">
        <v>485.55555555555554</v>
      </c>
      <c r="Z91" s="168">
        <f>Y91/Y12</f>
        <v>2.3594481709249848E-3</v>
      </c>
      <c r="AA91" s="275">
        <f>C91+E91+G91+I91+K91+M91+O91+Q91+S91+U91+W91+Y91</f>
        <v>5826.666666666667</v>
      </c>
      <c r="AB91" s="203">
        <f>AA91/AA12</f>
        <v>3.0385960417155049E-3</v>
      </c>
      <c r="AC91" s="194">
        <f t="shared" si="74"/>
        <v>485.5555555555556</v>
      </c>
      <c r="AD91" s="203">
        <f>AC91/AC12</f>
        <v>3.0385960417155049E-3</v>
      </c>
      <c r="AE91" s="75"/>
      <c r="AF91" s="158"/>
      <c r="AG91" s="75"/>
      <c r="AH91" s="194">
        <v>3581.308</v>
      </c>
      <c r="AI91" s="244">
        <f>AH91/AH12</f>
        <v>4.4475582539973196E-3</v>
      </c>
      <c r="AJ91" s="282">
        <f t="shared" si="35"/>
        <v>9893.5302222222235</v>
      </c>
      <c r="AK91" s="53">
        <f t="shared" si="36"/>
        <v>0</v>
      </c>
      <c r="AL91" s="53">
        <f>C91+E91+G91+I91+K91+M91+O91+Q91+S91+U91+W91+Y91</f>
        <v>5826.666666666667</v>
      </c>
      <c r="AM91" s="53">
        <f>G91*9.4+I91*9.4+K91*9.4+M91*9.4+O91*9.4+Q91*9.4+S91*9.4+U91*9.4+W91*9.4+Y91*9.4</f>
        <v>45642.222222222219</v>
      </c>
      <c r="AN91" s="53" t="e">
        <f>#REF!-AM91</f>
        <v>#REF!</v>
      </c>
      <c r="AO91" s="53"/>
      <c r="AS91" s="53">
        <f t="shared" si="72"/>
        <v>4564.2222222222226</v>
      </c>
    </row>
    <row r="92" spans="1:45">
      <c r="A92" s="2">
        <v>6216</v>
      </c>
      <c r="B92" s="108" t="s">
        <v>111</v>
      </c>
      <c r="C92" s="130">
        <v>0</v>
      </c>
      <c r="D92" s="49">
        <f>C92/C12</f>
        <v>0</v>
      </c>
      <c r="E92" s="524">
        <v>0</v>
      </c>
      <c r="F92" s="49">
        <f>E92/E12</f>
        <v>0</v>
      </c>
      <c r="G92" s="524">
        <v>0</v>
      </c>
      <c r="H92" s="49">
        <f>G92/G12</f>
        <v>0</v>
      </c>
      <c r="I92" s="524">
        <v>0</v>
      </c>
      <c r="J92" s="49">
        <f>I92/I12</f>
        <v>0</v>
      </c>
      <c r="K92" s="524">
        <v>0</v>
      </c>
      <c r="L92" s="49">
        <f>K92/K12</f>
        <v>0</v>
      </c>
      <c r="M92" s="524">
        <v>0</v>
      </c>
      <c r="N92" s="49">
        <f>M92/M12</f>
        <v>0</v>
      </c>
      <c r="O92" s="524">
        <v>0</v>
      </c>
      <c r="P92" s="49">
        <f>O92/O12</f>
        <v>0</v>
      </c>
      <c r="Q92" s="524">
        <v>0</v>
      </c>
      <c r="R92" s="49">
        <f>Q92/Q12</f>
        <v>0</v>
      </c>
      <c r="S92" s="524">
        <v>0</v>
      </c>
      <c r="T92" s="49">
        <f>S92/S12</f>
        <v>0</v>
      </c>
      <c r="U92" s="524">
        <v>0</v>
      </c>
      <c r="V92" s="49">
        <f>U92/U12</f>
        <v>0</v>
      </c>
      <c r="W92" s="524">
        <v>0</v>
      </c>
      <c r="X92" s="49">
        <f>W92/W12</f>
        <v>0</v>
      </c>
      <c r="Y92" s="524">
        <v>0</v>
      </c>
      <c r="Z92" s="168">
        <f>Y92/Y12</f>
        <v>0</v>
      </c>
      <c r="AA92" s="275">
        <f>C92+E92+G92+I92+K92+M92+O92+Q92+S92+U92+W92+Y92</f>
        <v>0</v>
      </c>
      <c r="AB92" s="203">
        <f>AA92/AA12</f>
        <v>0</v>
      </c>
      <c r="AC92" s="194">
        <f t="shared" si="74"/>
        <v>0</v>
      </c>
      <c r="AD92" s="203">
        <f>AC92/AC12</f>
        <v>0</v>
      </c>
      <c r="AE92" s="75"/>
      <c r="AF92" s="158"/>
      <c r="AG92" s="75"/>
      <c r="AH92" s="194">
        <v>0</v>
      </c>
      <c r="AI92" s="244">
        <f>AH92/AH12</f>
        <v>0</v>
      </c>
      <c r="AJ92" s="282">
        <f t="shared" si="35"/>
        <v>0</v>
      </c>
      <c r="AK92" s="53">
        <f t="shared" si="36"/>
        <v>0</v>
      </c>
      <c r="AL92" s="53">
        <f>C92+E92+G92+I92+K92+M92+O92+Q92+S92+U92+W92+Y92</f>
        <v>0</v>
      </c>
      <c r="AM92" s="53">
        <f>G92*9.4+I92*9.4+K92*9.4+M92*9.4+O92*9.4+Q92*9.4+S92*9.4+U92*9.4+W92*9.4+Y92*9.4</f>
        <v>0</v>
      </c>
      <c r="AN92" s="53" t="e">
        <f>#REF!-AM92</f>
        <v>#REF!</v>
      </c>
      <c r="AO92" s="53"/>
      <c r="AS92" s="53">
        <f t="shared" si="72"/>
        <v>0</v>
      </c>
    </row>
    <row r="93" spans="1:45" ht="15.75" thickBot="1">
      <c r="A93" s="4">
        <v>6299</v>
      </c>
      <c r="B93" s="109" t="s">
        <v>100</v>
      </c>
      <c r="C93" s="29">
        <f>SUM(C77:C92)</f>
        <v>14463.644985585101</v>
      </c>
      <c r="D93" s="66">
        <f>C93/C12</f>
        <v>0.10028736937211452</v>
      </c>
      <c r="E93" s="58">
        <f>SUM(E77:E92)</f>
        <v>14463.644985585101</v>
      </c>
      <c r="F93" s="66">
        <f>E93/E12</f>
        <v>0.12890380508806634</v>
      </c>
      <c r="G93" s="85">
        <f>SUM(G77:G92)</f>
        <v>14463.644985585101</v>
      </c>
      <c r="H93" s="66">
        <f>G93/G12</f>
        <v>7.7710119486120763E-2</v>
      </c>
      <c r="I93" s="291">
        <f>SUM(I77:I92)</f>
        <v>14463.644985585101</v>
      </c>
      <c r="J93" s="66">
        <f>I93/I12</f>
        <v>8.8007502882098035E-2</v>
      </c>
      <c r="K93" s="58">
        <f>SUM(K77:K92)</f>
        <v>14463.644985585101</v>
      </c>
      <c r="L93" s="66">
        <f>K93/K12</f>
        <v>9.6224930899949546E-2</v>
      </c>
      <c r="M93" s="21">
        <f>SUM(M77:M92)</f>
        <v>14463.644985585101</v>
      </c>
      <c r="N93" s="66">
        <f>M93/M12</f>
        <v>6.7860276397528813E-2</v>
      </c>
      <c r="O93" s="21">
        <f>SUM(O77:O92)</f>
        <v>14463.644985585101</v>
      </c>
      <c r="P93" s="66">
        <f>O93/O12</f>
        <v>0.10718551198384531</v>
      </c>
      <c r="Q93" s="21">
        <f>SUM(Q77:Q92)</f>
        <v>14463.644985585101</v>
      </c>
      <c r="R93" s="66">
        <f>Q93/Q12</f>
        <v>8.631887104963995E-2</v>
      </c>
      <c r="S93" s="21">
        <f>SUM(S77:S92)</f>
        <v>14463.644985585101</v>
      </c>
      <c r="T93" s="66">
        <f>S93/S12</f>
        <v>8.5686566246444468E-2</v>
      </c>
      <c r="U93" s="58">
        <f>SUM(U77:U92)</f>
        <v>14463.644985585101</v>
      </c>
      <c r="V93" s="66">
        <f>U93/U12</f>
        <v>0.10802554326644837</v>
      </c>
      <c r="W93" s="40">
        <f>SUM(W77:W92)</f>
        <v>14463.644985585101</v>
      </c>
      <c r="X93" s="66">
        <f>W93/W12</f>
        <v>0.1061737113666415</v>
      </c>
      <c r="Y93" s="58">
        <f>SUM(Y77:Y92)</f>
        <v>14463.644985585101</v>
      </c>
      <c r="Z93" s="213">
        <f>Y93/Y12</f>
        <v>7.0282834406252589E-2</v>
      </c>
      <c r="AA93" s="200">
        <f>SUM(AA77:AA92)</f>
        <v>173563.73982702123</v>
      </c>
      <c r="AB93" s="234">
        <f>AA93/AA12</f>
        <v>9.0513173825582327E-2</v>
      </c>
      <c r="AC93" s="199">
        <f t="shared" si="74"/>
        <v>14463.644985585102</v>
      </c>
      <c r="AD93" s="234">
        <f>AC93/AC12</f>
        <v>9.0513173825582327E-2</v>
      </c>
      <c r="AE93" s="75"/>
      <c r="AF93" s="237"/>
      <c r="AG93" s="75" t="s">
        <v>171</v>
      </c>
      <c r="AH93" s="199">
        <f>SUM(AH77:AH92)</f>
        <v>150259.742</v>
      </c>
      <c r="AI93" s="248">
        <f>AH93/AH12</f>
        <v>0.18660471419258207</v>
      </c>
      <c r="AJ93" s="286">
        <f t="shared" si="35"/>
        <v>338287.12681260635</v>
      </c>
      <c r="AK93" s="53">
        <f t="shared" si="36"/>
        <v>0</v>
      </c>
      <c r="AL93" s="53">
        <f t="shared" si="71"/>
        <v>173563.73982702117</v>
      </c>
      <c r="AM93" s="53">
        <f t="shared" si="75"/>
        <v>1359582.6286449998</v>
      </c>
      <c r="AN93" s="53" t="e">
        <f>#REF!-AM93</f>
        <v>#REF!</v>
      </c>
      <c r="AO93" s="53"/>
      <c r="AS93" s="53">
        <f t="shared" si="72"/>
        <v>135958.26286449996</v>
      </c>
    </row>
    <row r="94" spans="1:45" ht="15.75" thickTop="1">
      <c r="A94" s="98">
        <v>6301</v>
      </c>
      <c r="B94" s="111" t="s">
        <v>37</v>
      </c>
      <c r="C94" s="630"/>
      <c r="D94" s="521">
        <f t="shared" ref="D94:R114" si="76">C94/C$12</f>
        <v>0</v>
      </c>
      <c r="E94" s="630"/>
      <c r="F94" s="521">
        <f t="shared" si="76"/>
        <v>0</v>
      </c>
      <c r="G94" s="630"/>
      <c r="H94" s="521">
        <f t="shared" si="76"/>
        <v>0</v>
      </c>
      <c r="I94" s="630"/>
      <c r="J94" s="521">
        <f t="shared" si="76"/>
        <v>0</v>
      </c>
      <c r="K94" s="630"/>
      <c r="L94" s="521">
        <f t="shared" si="76"/>
        <v>0</v>
      </c>
      <c r="M94" s="630"/>
      <c r="N94" s="521">
        <f t="shared" si="76"/>
        <v>0</v>
      </c>
      <c r="O94" s="630"/>
      <c r="P94" s="521">
        <f t="shared" si="76"/>
        <v>0</v>
      </c>
      <c r="Q94" s="630"/>
      <c r="R94" s="521">
        <f t="shared" si="76"/>
        <v>0</v>
      </c>
      <c r="S94" s="630"/>
      <c r="T94" s="521">
        <f t="shared" ref="T94:Z114" si="77">S94/S$12</f>
        <v>0</v>
      </c>
      <c r="U94" s="630"/>
      <c r="V94" s="521">
        <f t="shared" si="77"/>
        <v>0</v>
      </c>
      <c r="W94" s="630"/>
      <c r="X94" s="521">
        <f t="shared" si="77"/>
        <v>0</v>
      </c>
      <c r="Y94" s="630"/>
      <c r="Z94" s="521">
        <f t="shared" si="77"/>
        <v>0</v>
      </c>
      <c r="AA94" s="633">
        <f t="shared" ref="AA94:AA114" si="78">C94+E94+G94+I94+K94+M94+O94+Q94+S94+U94+W94+Y94</f>
        <v>0</v>
      </c>
      <c r="AB94" s="521">
        <f>AA94/AA$12</f>
        <v>0</v>
      </c>
      <c r="AC94" s="638">
        <f t="shared" si="74"/>
        <v>0</v>
      </c>
      <c r="AD94" s="521">
        <f>AC94/AC$12</f>
        <v>0</v>
      </c>
      <c r="AE94" s="75"/>
      <c r="AF94" s="158"/>
      <c r="AG94" s="75"/>
      <c r="AH94" s="198"/>
      <c r="AI94" s="244">
        <f>AH94/AH12</f>
        <v>0</v>
      </c>
      <c r="AJ94" s="282">
        <f t="shared" si="35"/>
        <v>0</v>
      </c>
      <c r="AK94" s="53">
        <f t="shared" si="36"/>
        <v>0</v>
      </c>
      <c r="AL94" s="53">
        <f t="shared" si="71"/>
        <v>0</v>
      </c>
      <c r="AM94" s="53">
        <f t="shared" si="75"/>
        <v>0</v>
      </c>
      <c r="AN94" s="53" t="e">
        <f>#REF!-AM94</f>
        <v>#REF!</v>
      </c>
      <c r="AO94" s="53"/>
      <c r="AS94" s="53">
        <f t="shared" si="72"/>
        <v>0</v>
      </c>
    </row>
    <row r="95" spans="1:45">
      <c r="A95" s="98">
        <v>6302</v>
      </c>
      <c r="B95" s="111" t="s">
        <v>38</v>
      </c>
      <c r="C95" s="630"/>
      <c r="D95" s="521">
        <f t="shared" si="76"/>
        <v>0</v>
      </c>
      <c r="E95" s="630"/>
      <c r="F95" s="521">
        <f t="shared" si="76"/>
        <v>0</v>
      </c>
      <c r="G95" s="630"/>
      <c r="H95" s="521">
        <f t="shared" si="76"/>
        <v>0</v>
      </c>
      <c r="I95" s="630"/>
      <c r="J95" s="521">
        <f t="shared" si="76"/>
        <v>0</v>
      </c>
      <c r="K95" s="630"/>
      <c r="L95" s="521">
        <f t="shared" si="76"/>
        <v>0</v>
      </c>
      <c r="M95" s="630"/>
      <c r="N95" s="521">
        <f t="shared" si="76"/>
        <v>0</v>
      </c>
      <c r="O95" s="630"/>
      <c r="P95" s="521">
        <f t="shared" si="76"/>
        <v>0</v>
      </c>
      <c r="Q95" s="630"/>
      <c r="R95" s="521">
        <f t="shared" si="76"/>
        <v>0</v>
      </c>
      <c r="S95" s="630"/>
      <c r="T95" s="521">
        <f t="shared" si="77"/>
        <v>0</v>
      </c>
      <c r="U95" s="630"/>
      <c r="V95" s="521">
        <f t="shared" si="77"/>
        <v>0</v>
      </c>
      <c r="W95" s="630"/>
      <c r="X95" s="521">
        <f t="shared" si="77"/>
        <v>0</v>
      </c>
      <c r="Y95" s="630"/>
      <c r="Z95" s="521">
        <f t="shared" si="77"/>
        <v>0</v>
      </c>
      <c r="AA95" s="633">
        <f t="shared" si="78"/>
        <v>0</v>
      </c>
      <c r="AB95" s="521">
        <f t="shared" ref="AB95:AB99" si="79">AA95/AA$12</f>
        <v>0</v>
      </c>
      <c r="AC95" s="638">
        <f t="shared" si="74"/>
        <v>0</v>
      </c>
      <c r="AD95" s="521">
        <f t="shared" ref="AD95:AD99" si="80">AC95/AC$12</f>
        <v>0</v>
      </c>
      <c r="AE95" s="75"/>
      <c r="AF95" s="158"/>
      <c r="AG95" s="75"/>
      <c r="AH95" s="198"/>
      <c r="AI95" s="244">
        <f>AH95/AH12</f>
        <v>0</v>
      </c>
      <c r="AJ95" s="282">
        <f t="shared" si="35"/>
        <v>0</v>
      </c>
      <c r="AK95" s="53">
        <f t="shared" si="36"/>
        <v>0</v>
      </c>
      <c r="AL95" s="53">
        <f t="shared" si="71"/>
        <v>0</v>
      </c>
      <c r="AM95" s="53">
        <f t="shared" si="75"/>
        <v>0</v>
      </c>
      <c r="AN95" s="53" t="e">
        <f>#REF!-AM95</f>
        <v>#REF!</v>
      </c>
      <c r="AO95" s="53"/>
      <c r="AS95" s="53">
        <f t="shared" si="72"/>
        <v>0</v>
      </c>
    </row>
    <row r="96" spans="1:45">
      <c r="A96" s="98">
        <v>6303</v>
      </c>
      <c r="B96" s="2" t="s">
        <v>112</v>
      </c>
      <c r="C96" s="630">
        <f>(39950/9.4)/2</f>
        <v>2125</v>
      </c>
      <c r="D96" s="521">
        <f t="shared" si="76"/>
        <v>1.473422917446714E-2</v>
      </c>
      <c r="E96" s="630"/>
      <c r="F96" s="521">
        <f t="shared" si="76"/>
        <v>0</v>
      </c>
      <c r="G96" s="630"/>
      <c r="H96" s="521">
        <f t="shared" si="76"/>
        <v>0</v>
      </c>
      <c r="I96" s="630"/>
      <c r="J96" s="521">
        <f t="shared" si="76"/>
        <v>0</v>
      </c>
      <c r="K96" s="630"/>
      <c r="L96" s="521">
        <f t="shared" si="76"/>
        <v>0</v>
      </c>
      <c r="M96" s="630"/>
      <c r="N96" s="521">
        <f t="shared" si="76"/>
        <v>0</v>
      </c>
      <c r="O96" s="630"/>
      <c r="P96" s="521">
        <f t="shared" si="76"/>
        <v>0</v>
      </c>
      <c r="Q96" s="630"/>
      <c r="R96" s="521">
        <f t="shared" si="76"/>
        <v>0</v>
      </c>
      <c r="S96" s="630"/>
      <c r="T96" s="521">
        <f t="shared" si="77"/>
        <v>0</v>
      </c>
      <c r="U96" s="630"/>
      <c r="V96" s="521">
        <f t="shared" si="77"/>
        <v>0</v>
      </c>
      <c r="W96" s="630"/>
      <c r="X96" s="521">
        <f t="shared" si="77"/>
        <v>0</v>
      </c>
      <c r="Y96" s="630"/>
      <c r="Z96" s="521">
        <f t="shared" si="77"/>
        <v>0</v>
      </c>
      <c r="AA96" s="633">
        <f t="shared" si="78"/>
        <v>2125</v>
      </c>
      <c r="AB96" s="521">
        <f t="shared" si="79"/>
        <v>1.1081836250535664E-3</v>
      </c>
      <c r="AC96" s="638">
        <f t="shared" si="74"/>
        <v>177.08333333333334</v>
      </c>
      <c r="AD96" s="521">
        <f t="shared" si="80"/>
        <v>1.1081836250535666E-3</v>
      </c>
      <c r="AE96" s="75"/>
      <c r="AF96" s="158"/>
      <c r="AG96" s="75"/>
      <c r="AH96" s="198"/>
      <c r="AI96" s="244">
        <f>AH96/AH12</f>
        <v>0</v>
      </c>
      <c r="AJ96" s="282">
        <f t="shared" si="35"/>
        <v>2302.0833333333335</v>
      </c>
      <c r="AK96" s="53">
        <f t="shared" si="36"/>
        <v>0</v>
      </c>
      <c r="AL96" s="53">
        <f t="shared" si="71"/>
        <v>2125</v>
      </c>
      <c r="AM96" s="53">
        <f t="shared" si="75"/>
        <v>0</v>
      </c>
      <c r="AN96" s="53" t="e">
        <f>#REF!-AM96</f>
        <v>#REF!</v>
      </c>
      <c r="AO96" s="53"/>
      <c r="AS96" s="53">
        <f t="shared" si="72"/>
        <v>0</v>
      </c>
    </row>
    <row r="97" spans="1:45">
      <c r="A97" s="98">
        <v>6304</v>
      </c>
      <c r="B97" s="2" t="s">
        <v>39</v>
      </c>
      <c r="C97" s="634"/>
      <c r="D97" s="521">
        <f t="shared" si="76"/>
        <v>0</v>
      </c>
      <c r="E97" s="634"/>
      <c r="F97" s="521">
        <f t="shared" si="76"/>
        <v>0</v>
      </c>
      <c r="G97" s="634"/>
      <c r="H97" s="521">
        <f t="shared" si="76"/>
        <v>0</v>
      </c>
      <c r="I97" s="634"/>
      <c r="J97" s="521">
        <f t="shared" si="76"/>
        <v>0</v>
      </c>
      <c r="K97" s="634"/>
      <c r="L97" s="521">
        <f t="shared" si="76"/>
        <v>0</v>
      </c>
      <c r="M97" s="634"/>
      <c r="N97" s="521">
        <f t="shared" si="76"/>
        <v>0</v>
      </c>
      <c r="O97" s="634"/>
      <c r="P97" s="521">
        <f t="shared" si="76"/>
        <v>0</v>
      </c>
      <c r="Q97" s="634"/>
      <c r="R97" s="521">
        <f t="shared" si="76"/>
        <v>0</v>
      </c>
      <c r="S97" s="634"/>
      <c r="T97" s="521">
        <f t="shared" si="77"/>
        <v>0</v>
      </c>
      <c r="U97" s="634"/>
      <c r="V97" s="521">
        <f t="shared" si="77"/>
        <v>0</v>
      </c>
      <c r="W97" s="634"/>
      <c r="X97" s="521">
        <f t="shared" si="77"/>
        <v>0</v>
      </c>
      <c r="Y97" s="634"/>
      <c r="Z97" s="521">
        <f t="shared" si="77"/>
        <v>0</v>
      </c>
      <c r="AA97" s="633">
        <f t="shared" si="78"/>
        <v>0</v>
      </c>
      <c r="AB97" s="521">
        <f t="shared" si="79"/>
        <v>0</v>
      </c>
      <c r="AC97" s="638">
        <f t="shared" si="74"/>
        <v>0</v>
      </c>
      <c r="AD97" s="521">
        <f t="shared" si="80"/>
        <v>0</v>
      </c>
      <c r="AE97" s="75"/>
      <c r="AF97" s="158"/>
      <c r="AG97" s="75"/>
      <c r="AH97" s="198">
        <v>9593.5680851063844</v>
      </c>
      <c r="AI97" s="244">
        <f>AH97/AH12</f>
        <v>1.1914069642208982E-2</v>
      </c>
      <c r="AJ97" s="282">
        <f t="shared" si="35"/>
        <v>9593.5680851063844</v>
      </c>
      <c r="AK97" s="53">
        <f t="shared" si="36"/>
        <v>0</v>
      </c>
      <c r="AL97" s="53">
        <f t="shared" si="71"/>
        <v>0</v>
      </c>
      <c r="AM97" s="53">
        <f t="shared" si="75"/>
        <v>0</v>
      </c>
      <c r="AN97" s="53" t="e">
        <f>#REF!-AM97</f>
        <v>#REF!</v>
      </c>
      <c r="AO97" s="53"/>
      <c r="AS97" s="53">
        <f t="shared" si="72"/>
        <v>0</v>
      </c>
    </row>
    <row r="98" spans="1:45">
      <c r="A98" s="98">
        <v>6305</v>
      </c>
      <c r="B98" s="2" t="s">
        <v>40</v>
      </c>
      <c r="C98" s="630"/>
      <c r="D98" s="521">
        <f t="shared" si="76"/>
        <v>0</v>
      </c>
      <c r="E98" s="630"/>
      <c r="F98" s="521">
        <f t="shared" si="76"/>
        <v>0</v>
      </c>
      <c r="G98" s="630"/>
      <c r="H98" s="521">
        <f t="shared" si="76"/>
        <v>0</v>
      </c>
      <c r="I98" s="630"/>
      <c r="J98" s="521">
        <f t="shared" si="76"/>
        <v>0</v>
      </c>
      <c r="K98" s="630"/>
      <c r="L98" s="521">
        <f t="shared" si="76"/>
        <v>0</v>
      </c>
      <c r="M98" s="630"/>
      <c r="N98" s="521">
        <f t="shared" si="76"/>
        <v>0</v>
      </c>
      <c r="O98" s="630"/>
      <c r="P98" s="521">
        <f t="shared" si="76"/>
        <v>0</v>
      </c>
      <c r="Q98" s="630"/>
      <c r="R98" s="521">
        <f t="shared" si="76"/>
        <v>0</v>
      </c>
      <c r="S98" s="630"/>
      <c r="T98" s="521">
        <f t="shared" si="77"/>
        <v>0</v>
      </c>
      <c r="U98" s="630"/>
      <c r="V98" s="521">
        <f t="shared" si="77"/>
        <v>0</v>
      </c>
      <c r="W98" s="630"/>
      <c r="X98" s="521">
        <f t="shared" si="77"/>
        <v>0</v>
      </c>
      <c r="Y98" s="630"/>
      <c r="Z98" s="521">
        <f t="shared" si="77"/>
        <v>0</v>
      </c>
      <c r="AA98" s="633">
        <f t="shared" si="78"/>
        <v>0</v>
      </c>
      <c r="AB98" s="521">
        <f t="shared" si="79"/>
        <v>0</v>
      </c>
      <c r="AC98" s="638">
        <f t="shared" si="74"/>
        <v>0</v>
      </c>
      <c r="AD98" s="521">
        <f t="shared" si="80"/>
        <v>0</v>
      </c>
      <c r="AE98" s="75"/>
      <c r="AF98" s="158"/>
      <c r="AG98" s="75"/>
      <c r="AH98" s="198">
        <v>2468.3266990881457</v>
      </c>
      <c r="AI98" s="244">
        <f>AH98/AH12</f>
        <v>3.0653679560907472E-3</v>
      </c>
      <c r="AJ98" s="282">
        <f t="shared" si="35"/>
        <v>2468.3266990881457</v>
      </c>
      <c r="AK98" s="53">
        <f t="shared" si="36"/>
        <v>0</v>
      </c>
      <c r="AL98" s="53">
        <f t="shared" si="71"/>
        <v>0</v>
      </c>
      <c r="AM98" s="53">
        <f t="shared" si="75"/>
        <v>0</v>
      </c>
      <c r="AN98" s="53" t="e">
        <f>#REF!-AM98</f>
        <v>#REF!</v>
      </c>
      <c r="AO98" s="53"/>
      <c r="AS98" s="53">
        <f t="shared" si="72"/>
        <v>0</v>
      </c>
    </row>
    <row r="99" spans="1:45">
      <c r="A99" s="98">
        <v>6306</v>
      </c>
      <c r="B99" s="2" t="s">
        <v>41</v>
      </c>
      <c r="C99" s="630"/>
      <c r="D99" s="521">
        <f t="shared" si="76"/>
        <v>0</v>
      </c>
      <c r="E99" s="630"/>
      <c r="F99" s="521">
        <f t="shared" si="76"/>
        <v>0</v>
      </c>
      <c r="G99" s="630"/>
      <c r="H99" s="521">
        <f t="shared" si="76"/>
        <v>0</v>
      </c>
      <c r="I99" s="630"/>
      <c r="J99" s="521">
        <f t="shared" si="76"/>
        <v>0</v>
      </c>
      <c r="K99" s="630"/>
      <c r="L99" s="521">
        <f t="shared" si="76"/>
        <v>0</v>
      </c>
      <c r="M99" s="630"/>
      <c r="N99" s="521">
        <f t="shared" si="76"/>
        <v>0</v>
      </c>
      <c r="O99" s="630"/>
      <c r="P99" s="521">
        <f t="shared" si="76"/>
        <v>0</v>
      </c>
      <c r="Q99" s="630"/>
      <c r="R99" s="521">
        <f t="shared" si="76"/>
        <v>0</v>
      </c>
      <c r="S99" s="630"/>
      <c r="T99" s="521">
        <f t="shared" si="77"/>
        <v>0</v>
      </c>
      <c r="U99" s="630"/>
      <c r="V99" s="521">
        <f t="shared" si="77"/>
        <v>0</v>
      </c>
      <c r="W99" s="630"/>
      <c r="X99" s="521">
        <f t="shared" si="77"/>
        <v>0</v>
      </c>
      <c r="Y99" s="630"/>
      <c r="Z99" s="521">
        <f t="shared" si="77"/>
        <v>0</v>
      </c>
      <c r="AA99" s="633">
        <f t="shared" si="78"/>
        <v>0</v>
      </c>
      <c r="AB99" s="521">
        <f t="shared" si="79"/>
        <v>0</v>
      </c>
      <c r="AC99" s="638">
        <f t="shared" si="74"/>
        <v>0</v>
      </c>
      <c r="AD99" s="521">
        <f t="shared" si="80"/>
        <v>0</v>
      </c>
      <c r="AE99" s="75"/>
      <c r="AF99" s="158"/>
      <c r="AG99" s="75"/>
      <c r="AH99" s="198">
        <v>0</v>
      </c>
      <c r="AI99" s="244">
        <f>AH99/AH12</f>
        <v>0</v>
      </c>
      <c r="AJ99" s="282">
        <f t="shared" si="35"/>
        <v>0</v>
      </c>
      <c r="AK99" s="53">
        <f t="shared" si="36"/>
        <v>0</v>
      </c>
      <c r="AL99" s="53">
        <f t="shared" si="71"/>
        <v>0</v>
      </c>
      <c r="AM99" s="53">
        <f t="shared" si="75"/>
        <v>0</v>
      </c>
      <c r="AN99" s="53" t="e">
        <f>#REF!-AM99</f>
        <v>#REF!</v>
      </c>
      <c r="AO99" s="53"/>
      <c r="AS99" s="53">
        <f t="shared" si="72"/>
        <v>0</v>
      </c>
    </row>
    <row r="100" spans="1:45">
      <c r="A100" s="98">
        <v>6307</v>
      </c>
      <c r="B100" s="2" t="s">
        <v>257</v>
      </c>
      <c r="C100" s="630"/>
      <c r="D100" s="521">
        <f t="shared" si="76"/>
        <v>0</v>
      </c>
      <c r="E100" s="630">
        <v>69.148936170212764</v>
      </c>
      <c r="F100" s="521">
        <f t="shared" si="76"/>
        <v>6.1627349115771072E-4</v>
      </c>
      <c r="G100" s="630">
        <v>69.148936170212764</v>
      </c>
      <c r="H100" s="521">
        <f t="shared" si="76"/>
        <v>3.715226761636388E-4</v>
      </c>
      <c r="I100" s="630">
        <v>266.59574468085106</v>
      </c>
      <c r="J100" s="521">
        <f t="shared" si="76"/>
        <v>1.6221654909076115E-3</v>
      </c>
      <c r="K100" s="630">
        <v>69.148936170212764</v>
      </c>
      <c r="L100" s="521">
        <f t="shared" si="76"/>
        <v>4.6003974872275776E-4</v>
      </c>
      <c r="M100" s="630"/>
      <c r="N100" s="521">
        <f t="shared" si="76"/>
        <v>0</v>
      </c>
      <c r="O100" s="630">
        <v>69.148936170212764</v>
      </c>
      <c r="P100" s="521">
        <f t="shared" si="76"/>
        <v>5.1244096034777403E-4</v>
      </c>
      <c r="Q100" s="630">
        <v>69.148936170212764</v>
      </c>
      <c r="R100" s="521">
        <f t="shared" si="76"/>
        <v>4.126800754889325E-4</v>
      </c>
      <c r="S100" s="630">
        <v>69.148936170212764</v>
      </c>
      <c r="T100" s="521">
        <f t="shared" si="77"/>
        <v>4.0965710275143378E-4</v>
      </c>
      <c r="U100" s="630">
        <v>69.148936170212764</v>
      </c>
      <c r="V100" s="521">
        <f t="shared" si="77"/>
        <v>5.1645704824260219E-4</v>
      </c>
      <c r="W100" s="630">
        <v>69.148936170212764</v>
      </c>
      <c r="X100" s="521">
        <f t="shared" si="77"/>
        <v>5.0760366405311677E-4</v>
      </c>
      <c r="Y100" s="630">
        <v>69.148936170212764</v>
      </c>
      <c r="Z100" s="521">
        <f t="shared" si="77"/>
        <v>3.3601372510616779E-4</v>
      </c>
      <c r="AA100" s="633">
        <f t="shared" si="78"/>
        <v>888.936170212766</v>
      </c>
      <c r="AB100" s="521">
        <f>AA100/AA$12</f>
        <v>4.6357859178711397E-4</v>
      </c>
      <c r="AC100" s="638">
        <f t="shared" si="74"/>
        <v>74.078014184397162</v>
      </c>
      <c r="AD100" s="521">
        <f>AC100/AC$12</f>
        <v>4.6357859178711397E-4</v>
      </c>
      <c r="AE100" s="75"/>
      <c r="AF100" s="158"/>
      <c r="AG100" s="75"/>
      <c r="AH100" s="527"/>
      <c r="AI100" s="244"/>
      <c r="AJ100" s="282"/>
      <c r="AK100" s="53"/>
      <c r="AL100" s="53"/>
      <c r="AM100" s="53"/>
      <c r="AN100" s="53"/>
      <c r="AO100" s="53"/>
      <c r="AS100" s="53"/>
    </row>
    <row r="101" spans="1:45">
      <c r="A101" s="2">
        <v>6308</v>
      </c>
      <c r="B101" s="2" t="s">
        <v>125</v>
      </c>
      <c r="C101" s="630"/>
      <c r="D101" s="521">
        <f t="shared" si="76"/>
        <v>0</v>
      </c>
      <c r="E101" s="630"/>
      <c r="F101" s="521">
        <f t="shared" si="76"/>
        <v>0</v>
      </c>
      <c r="G101" s="630"/>
      <c r="H101" s="521">
        <f t="shared" si="76"/>
        <v>0</v>
      </c>
      <c r="I101" s="630"/>
      <c r="J101" s="521">
        <f t="shared" si="76"/>
        <v>0</v>
      </c>
      <c r="K101" s="630"/>
      <c r="L101" s="521">
        <f t="shared" si="76"/>
        <v>0</v>
      </c>
      <c r="M101" s="630"/>
      <c r="N101" s="521">
        <f t="shared" si="76"/>
        <v>0</v>
      </c>
      <c r="O101" s="630"/>
      <c r="P101" s="521">
        <f t="shared" si="76"/>
        <v>0</v>
      </c>
      <c r="Q101" s="630"/>
      <c r="R101" s="521">
        <f t="shared" si="76"/>
        <v>0</v>
      </c>
      <c r="S101" s="630"/>
      <c r="T101" s="521">
        <f t="shared" si="77"/>
        <v>0</v>
      </c>
      <c r="U101" s="630"/>
      <c r="V101" s="521">
        <f t="shared" si="77"/>
        <v>0</v>
      </c>
      <c r="W101" s="630"/>
      <c r="X101" s="521">
        <f t="shared" si="77"/>
        <v>0</v>
      </c>
      <c r="Y101" s="630"/>
      <c r="Z101" s="521">
        <f t="shared" si="77"/>
        <v>0</v>
      </c>
      <c r="AA101" s="633">
        <f t="shared" si="78"/>
        <v>0</v>
      </c>
      <c r="AB101" s="521">
        <f>AA101/AA$12</f>
        <v>0</v>
      </c>
      <c r="AC101" s="638">
        <f t="shared" si="74"/>
        <v>0</v>
      </c>
      <c r="AD101" s="521">
        <f>AC101/AC$12</f>
        <v>0</v>
      </c>
      <c r="AE101" s="75"/>
      <c r="AF101" s="158"/>
      <c r="AG101" s="75"/>
      <c r="AH101" s="198">
        <v>0</v>
      </c>
      <c r="AI101" s="244">
        <f>AH101/AH12</f>
        <v>0</v>
      </c>
      <c r="AJ101" s="282">
        <f t="shared" si="35"/>
        <v>0</v>
      </c>
      <c r="AK101" s="53">
        <f t="shared" si="36"/>
        <v>0</v>
      </c>
      <c r="AL101" s="53">
        <f t="shared" si="71"/>
        <v>0</v>
      </c>
      <c r="AM101" s="53">
        <f t="shared" si="75"/>
        <v>0</v>
      </c>
      <c r="AN101" s="53" t="e">
        <f>#REF!-AM101</f>
        <v>#REF!</v>
      </c>
      <c r="AO101" s="53"/>
      <c r="AS101" s="53">
        <f t="shared" si="72"/>
        <v>0</v>
      </c>
    </row>
    <row r="102" spans="1:45">
      <c r="A102" s="2">
        <v>6309</v>
      </c>
      <c r="B102" s="2" t="s">
        <v>126</v>
      </c>
      <c r="C102" s="630">
        <v>702.76809709507984</v>
      </c>
      <c r="D102" s="521">
        <f t="shared" si="76"/>
        <v>4.8728217407543913E-3</v>
      </c>
      <c r="E102" s="630">
        <v>737.9065019498338</v>
      </c>
      <c r="F102" s="521">
        <f t="shared" si="76"/>
        <v>6.5764166636664966E-3</v>
      </c>
      <c r="G102" s="630">
        <v>387.40091352366278</v>
      </c>
      <c r="H102" s="521">
        <f t="shared" si="76"/>
        <v>2.0814235491094864E-3</v>
      </c>
      <c r="I102" s="630">
        <v>406.77095919984595</v>
      </c>
      <c r="J102" s="521">
        <f t="shared" si="76"/>
        <v>2.4750950676549698E-3</v>
      </c>
      <c r="K102" s="630">
        <v>854.21901431967649</v>
      </c>
      <c r="L102" s="521">
        <f t="shared" si="76"/>
        <v>5.6830187486110193E-3</v>
      </c>
      <c r="M102" s="630">
        <v>448.46498251783021</v>
      </c>
      <c r="N102" s="521">
        <f t="shared" si="76"/>
        <v>2.1041001558461427E-3</v>
      </c>
      <c r="O102" s="630">
        <v>470.88823164372172</v>
      </c>
      <c r="P102" s="521">
        <f t="shared" si="76"/>
        <v>3.4896041935626983E-3</v>
      </c>
      <c r="Q102" s="630">
        <v>494.43264322590784</v>
      </c>
      <c r="R102" s="521">
        <f t="shared" si="76"/>
        <v>2.9507684692126226E-3</v>
      </c>
      <c r="S102" s="630">
        <v>1038.3085507744065</v>
      </c>
      <c r="T102" s="521">
        <f t="shared" si="77"/>
        <v>6.1512222201837909E-3</v>
      </c>
      <c r="U102" s="630">
        <v>1090.2239783131267</v>
      </c>
      <c r="V102" s="521">
        <f t="shared" si="77"/>
        <v>8.1426250199558448E-3</v>
      </c>
      <c r="W102" s="630">
        <v>572.36758861439171</v>
      </c>
      <c r="X102" s="521">
        <f t="shared" si="77"/>
        <v>4.2015958777839616E-3</v>
      </c>
      <c r="Y102" s="630">
        <v>600.98596804511112</v>
      </c>
      <c r="Z102" s="521">
        <f t="shared" si="77"/>
        <v>2.920356335812487E-3</v>
      </c>
      <c r="AA102" s="633">
        <f t="shared" si="78"/>
        <v>7804.737429222595</v>
      </c>
      <c r="AB102" s="521">
        <f>AA102/AA$12</f>
        <v>4.0701563373680702E-3</v>
      </c>
      <c r="AC102" s="638">
        <f t="shared" si="74"/>
        <v>650.39478576854958</v>
      </c>
      <c r="AD102" s="521">
        <f>AC102/AC$12</f>
        <v>4.0701563373680702E-3</v>
      </c>
      <c r="AE102" s="75"/>
      <c r="AF102" s="158"/>
      <c r="AG102" s="75"/>
      <c r="AH102" s="198">
        <v>5263.5292553191493</v>
      </c>
      <c r="AI102" s="244">
        <f>AH102/AH12</f>
        <v>6.5366768188190039E-3</v>
      </c>
      <c r="AJ102" s="282">
        <f t="shared" si="35"/>
        <v>13718.661470310293</v>
      </c>
      <c r="AK102" s="53">
        <f t="shared" si="36"/>
        <v>0</v>
      </c>
      <c r="AL102" s="53">
        <f t="shared" si="71"/>
        <v>7804.737429222595</v>
      </c>
      <c r="AM102" s="53">
        <f t="shared" si="75"/>
        <v>59822.190603670206</v>
      </c>
      <c r="AN102" s="53" t="e">
        <f>#REF!-AM102</f>
        <v>#REF!</v>
      </c>
      <c r="AO102" s="53"/>
      <c r="AS102" s="53">
        <f t="shared" si="72"/>
        <v>4647.6668463235337</v>
      </c>
    </row>
    <row r="103" spans="1:45">
      <c r="A103" s="2">
        <v>6310</v>
      </c>
      <c r="B103" s="2" t="s">
        <v>127</v>
      </c>
      <c r="C103" s="630">
        <f>(200/9.4)/2</f>
        <v>10.638297872340425</v>
      </c>
      <c r="D103" s="521">
        <f t="shared" si="76"/>
        <v>7.3763350059910589E-5</v>
      </c>
      <c r="E103" s="630">
        <f>(200/9.4)/2</f>
        <v>10.638297872340425</v>
      </c>
      <c r="F103" s="521">
        <f t="shared" si="76"/>
        <v>9.48113063319555E-5</v>
      </c>
      <c r="G103" s="630">
        <f>(200/9.4)/2</f>
        <v>10.638297872340425</v>
      </c>
      <c r="H103" s="521">
        <f t="shared" si="76"/>
        <v>5.7157334794405966E-5</v>
      </c>
      <c r="I103" s="630">
        <f>(200/9.4)/2</f>
        <v>10.638297872340425</v>
      </c>
      <c r="J103" s="521">
        <f t="shared" si="76"/>
        <v>6.4731264601261435E-5</v>
      </c>
      <c r="K103" s="630">
        <f>(200/9.4)/2</f>
        <v>10.638297872340425</v>
      </c>
      <c r="L103" s="521">
        <f t="shared" si="76"/>
        <v>7.077534595734735E-5</v>
      </c>
      <c r="M103" s="630"/>
      <c r="N103" s="521">
        <f t="shared" si="76"/>
        <v>0</v>
      </c>
      <c r="O103" s="630">
        <f>(200/9.4)/2</f>
        <v>10.638297872340425</v>
      </c>
      <c r="P103" s="521">
        <f t="shared" si="76"/>
        <v>7.8837070822734454E-5</v>
      </c>
      <c r="Q103" s="630">
        <f>(200/9.4)/2</f>
        <v>10.638297872340425</v>
      </c>
      <c r="R103" s="521">
        <f t="shared" si="76"/>
        <v>6.3489242382912692E-5</v>
      </c>
      <c r="S103" s="630">
        <f>(200/9.4)/2</f>
        <v>10.638297872340425</v>
      </c>
      <c r="T103" s="521">
        <f t="shared" si="77"/>
        <v>6.302416965406674E-5</v>
      </c>
      <c r="U103" s="630">
        <f>(200/9.4)/2</f>
        <v>10.638297872340425</v>
      </c>
      <c r="V103" s="521">
        <f t="shared" si="77"/>
        <v>7.945493049886187E-5</v>
      </c>
      <c r="W103" s="630">
        <f>(200/9.4)/2</f>
        <v>10.638297872340425</v>
      </c>
      <c r="X103" s="521">
        <f t="shared" si="77"/>
        <v>7.8092871392787189E-5</v>
      </c>
      <c r="Y103" s="630">
        <f>(200/9.4)/2</f>
        <v>10.638297872340425</v>
      </c>
      <c r="Z103" s="521">
        <f t="shared" si="77"/>
        <v>5.1694419247102736E-5</v>
      </c>
      <c r="AA103" s="633">
        <f t="shared" si="78"/>
        <v>117.02127659574469</v>
      </c>
      <c r="AB103" s="521">
        <f t="shared" ref="AB103:AB114" si="81">AA103/AA$12</f>
        <v>6.102638235589103E-5</v>
      </c>
      <c r="AC103" s="638">
        <f t="shared" si="74"/>
        <v>9.7517730496453918</v>
      </c>
      <c r="AD103" s="521">
        <f t="shared" ref="AD103:AD114" si="82">AC103/AC$12</f>
        <v>6.102638235589103E-5</v>
      </c>
      <c r="AE103" s="75"/>
      <c r="AF103" s="158"/>
      <c r="AG103" s="75"/>
      <c r="AH103" s="198">
        <v>2500</v>
      </c>
      <c r="AI103" s="244">
        <f>AH103/AH12</f>
        <v>3.10470242575989E-3</v>
      </c>
      <c r="AJ103" s="282">
        <f t="shared" si="35"/>
        <v>2626.7730496453901</v>
      </c>
      <c r="AK103" s="53">
        <f t="shared" si="36"/>
        <v>0</v>
      </c>
      <c r="AL103" s="53">
        <f t="shared" si="71"/>
        <v>117.02127659574469</v>
      </c>
      <c r="AM103" s="53">
        <f t="shared" si="75"/>
        <v>900</v>
      </c>
      <c r="AN103" s="53" t="e">
        <f>#REF!-AM103</f>
        <v>#REF!</v>
      </c>
      <c r="AO103" s="53"/>
      <c r="AS103" s="53">
        <f t="shared" si="72"/>
        <v>100</v>
      </c>
    </row>
    <row r="104" spans="1:45">
      <c r="A104" s="2">
        <v>6311</v>
      </c>
      <c r="B104" s="2" t="s">
        <v>128</v>
      </c>
      <c r="C104" s="630">
        <v>1063.8297872340424</v>
      </c>
      <c r="D104" s="521">
        <f t="shared" si="76"/>
        <v>7.3763350059910587E-3</v>
      </c>
      <c r="E104" s="630"/>
      <c r="F104" s="521">
        <f t="shared" si="76"/>
        <v>0</v>
      </c>
      <c r="G104" s="630"/>
      <c r="H104" s="521">
        <f t="shared" si="76"/>
        <v>0</v>
      </c>
      <c r="I104" s="630"/>
      <c r="J104" s="521">
        <f t="shared" si="76"/>
        <v>0</v>
      </c>
      <c r="K104" s="630"/>
      <c r="L104" s="521">
        <f t="shared" si="76"/>
        <v>0</v>
      </c>
      <c r="M104" s="630"/>
      <c r="N104" s="521">
        <f t="shared" si="76"/>
        <v>0</v>
      </c>
      <c r="O104" s="630"/>
      <c r="P104" s="521">
        <f t="shared" si="76"/>
        <v>0</v>
      </c>
      <c r="Q104" s="630"/>
      <c r="R104" s="521">
        <f t="shared" si="76"/>
        <v>0</v>
      </c>
      <c r="S104" s="630"/>
      <c r="T104" s="521">
        <f t="shared" si="77"/>
        <v>0</v>
      </c>
      <c r="U104" s="630"/>
      <c r="V104" s="521">
        <f t="shared" si="77"/>
        <v>0</v>
      </c>
      <c r="W104" s="630"/>
      <c r="X104" s="521">
        <f t="shared" si="77"/>
        <v>0</v>
      </c>
      <c r="Y104" s="630"/>
      <c r="Z104" s="521">
        <f t="shared" si="77"/>
        <v>0</v>
      </c>
      <c r="AA104" s="633">
        <f t="shared" si="78"/>
        <v>1063.8297872340424</v>
      </c>
      <c r="AB104" s="521">
        <f t="shared" si="81"/>
        <v>5.547852941444638E-4</v>
      </c>
      <c r="AC104" s="638">
        <f t="shared" si="74"/>
        <v>88.652482269503537</v>
      </c>
      <c r="AD104" s="521">
        <f t="shared" si="82"/>
        <v>5.547852941444638E-4</v>
      </c>
      <c r="AE104" s="75"/>
      <c r="AF104" s="158"/>
      <c r="AG104" s="75"/>
      <c r="AH104" s="198">
        <v>4644.4148936170222</v>
      </c>
      <c r="AI104" s="244">
        <f>AH104/AH12</f>
        <v>5.7678104745792517E-3</v>
      </c>
      <c r="AJ104" s="282">
        <f t="shared" si="35"/>
        <v>5796.8971631205677</v>
      </c>
      <c r="AK104" s="53">
        <f t="shared" si="36"/>
        <v>0</v>
      </c>
      <c r="AL104" s="53">
        <f t="shared" si="71"/>
        <v>1063.8297872340424</v>
      </c>
      <c r="AM104" s="53">
        <f t="shared" si="75"/>
        <v>0</v>
      </c>
      <c r="AN104" s="53" t="e">
        <f>#REF!-AM104</f>
        <v>#REF!</v>
      </c>
      <c r="AO104" s="53"/>
      <c r="AS104" s="53">
        <f t="shared" si="72"/>
        <v>0</v>
      </c>
    </row>
    <row r="105" spans="1:45">
      <c r="A105" s="2">
        <v>6312</v>
      </c>
      <c r="B105" s="2" t="s">
        <v>129</v>
      </c>
      <c r="C105" s="630">
        <v>493.50000000000006</v>
      </c>
      <c r="D105" s="521">
        <f t="shared" si="76"/>
        <v>3.4218080459291929E-3</v>
      </c>
      <c r="E105" s="630">
        <v>493.50000000000006</v>
      </c>
      <c r="F105" s="521">
        <f t="shared" si="76"/>
        <v>4.3982016894330844E-3</v>
      </c>
      <c r="G105" s="630">
        <v>493.50000000000006</v>
      </c>
      <c r="H105" s="521">
        <f t="shared" si="76"/>
        <v>2.6514716037776987E-3</v>
      </c>
      <c r="I105" s="630"/>
      <c r="J105" s="521">
        <f t="shared" si="76"/>
        <v>0</v>
      </c>
      <c r="K105" s="630">
        <v>493.50000000000006</v>
      </c>
      <c r="L105" s="521">
        <f t="shared" si="76"/>
        <v>3.2831975236153866E-3</v>
      </c>
      <c r="M105" s="630"/>
      <c r="N105" s="521">
        <f t="shared" si="76"/>
        <v>0</v>
      </c>
      <c r="O105" s="630">
        <v>493.50000000000006</v>
      </c>
      <c r="P105" s="521">
        <f t="shared" si="76"/>
        <v>3.6571728783958294E-3</v>
      </c>
      <c r="Q105" s="630"/>
      <c r="R105" s="521">
        <f t="shared" si="76"/>
        <v>0</v>
      </c>
      <c r="S105" s="630">
        <v>493.50000000000006</v>
      </c>
      <c r="T105" s="521">
        <f t="shared" si="77"/>
        <v>2.9236282060825024E-3</v>
      </c>
      <c r="U105" s="630"/>
      <c r="V105" s="521">
        <f t="shared" si="77"/>
        <v>0</v>
      </c>
      <c r="W105" s="630">
        <v>493.50000000000006</v>
      </c>
      <c r="X105" s="521">
        <f t="shared" si="77"/>
        <v>3.6226502110400056E-3</v>
      </c>
      <c r="Y105" s="630">
        <v>493.50000000000006</v>
      </c>
      <c r="Z105" s="521">
        <f t="shared" si="77"/>
        <v>2.3980524144538492E-3</v>
      </c>
      <c r="AA105" s="633">
        <f t="shared" si="78"/>
        <v>3948.0000000000005</v>
      </c>
      <c r="AB105" s="521">
        <f t="shared" si="81"/>
        <v>2.0588748008054029E-3</v>
      </c>
      <c r="AC105" s="638">
        <f t="shared" si="74"/>
        <v>329.00000000000006</v>
      </c>
      <c r="AD105" s="521">
        <f t="shared" si="82"/>
        <v>2.0588748008054029E-3</v>
      </c>
      <c r="AE105" s="75"/>
      <c r="AF105" s="158"/>
      <c r="AG105" s="75"/>
      <c r="AH105" s="198">
        <v>12000</v>
      </c>
      <c r="AI105" s="244">
        <f>AH105/AH12</f>
        <v>1.490257164364747E-2</v>
      </c>
      <c r="AJ105" s="282">
        <f t="shared" si="35"/>
        <v>16277</v>
      </c>
      <c r="AK105" s="53">
        <f t="shared" si="36"/>
        <v>0</v>
      </c>
      <c r="AL105" s="53">
        <f t="shared" si="71"/>
        <v>3948.0000000000005</v>
      </c>
      <c r="AM105" s="53">
        <f t="shared" si="75"/>
        <v>27833.400000000005</v>
      </c>
      <c r="AN105" s="53" t="e">
        <f>#REF!-AM105</f>
        <v>#REF!</v>
      </c>
      <c r="AO105" s="53"/>
      <c r="AS105" s="53">
        <f t="shared" si="72"/>
        <v>0</v>
      </c>
    </row>
    <row r="106" spans="1:45">
      <c r="A106" s="2">
        <v>6313</v>
      </c>
      <c r="B106" s="2" t="s">
        <v>130</v>
      </c>
      <c r="C106" s="630"/>
      <c r="D106" s="521">
        <f t="shared" si="76"/>
        <v>0</v>
      </c>
      <c r="E106" s="630"/>
      <c r="F106" s="521">
        <f t="shared" si="76"/>
        <v>0</v>
      </c>
      <c r="G106" s="630">
        <v>241.77949709864606</v>
      </c>
      <c r="H106" s="521">
        <f t="shared" si="76"/>
        <v>1.2990303362364994E-3</v>
      </c>
      <c r="I106" s="630"/>
      <c r="J106" s="521">
        <f t="shared" si="76"/>
        <v>0</v>
      </c>
      <c r="K106" s="630">
        <v>241.77949709864606</v>
      </c>
      <c r="L106" s="521">
        <f t="shared" si="76"/>
        <v>1.6085305899397127E-3</v>
      </c>
      <c r="M106" s="630"/>
      <c r="N106" s="521">
        <f t="shared" si="76"/>
        <v>0</v>
      </c>
      <c r="O106" s="630"/>
      <c r="P106" s="521">
        <f t="shared" si="76"/>
        <v>0</v>
      </c>
      <c r="Q106" s="630">
        <v>241.77949709864606</v>
      </c>
      <c r="R106" s="521">
        <f t="shared" si="76"/>
        <v>1.4429373268843796E-3</v>
      </c>
      <c r="S106" s="630"/>
      <c r="T106" s="521">
        <f t="shared" si="77"/>
        <v>0</v>
      </c>
      <c r="U106" s="630"/>
      <c r="V106" s="521">
        <f t="shared" si="77"/>
        <v>0</v>
      </c>
      <c r="W106" s="630"/>
      <c r="X106" s="521">
        <f t="shared" si="77"/>
        <v>0</v>
      </c>
      <c r="Y106" s="630">
        <v>241.77949709864606</v>
      </c>
      <c r="Z106" s="521">
        <f t="shared" si="77"/>
        <v>1.1748731647068804E-3</v>
      </c>
      <c r="AA106" s="633">
        <f t="shared" si="78"/>
        <v>967.11798839458424</v>
      </c>
      <c r="AB106" s="521">
        <f t="shared" si="81"/>
        <v>5.0435026740405808E-4</v>
      </c>
      <c r="AC106" s="638">
        <f t="shared" si="74"/>
        <v>80.593165699548692</v>
      </c>
      <c r="AD106" s="521">
        <f t="shared" si="82"/>
        <v>5.0435026740405808E-4</v>
      </c>
      <c r="AE106" s="75"/>
      <c r="AF106" s="158"/>
      <c r="AG106" s="75"/>
      <c r="AH106" s="198"/>
      <c r="AI106" s="244"/>
      <c r="AJ106" s="282"/>
      <c r="AK106" s="53"/>
      <c r="AL106" s="53"/>
      <c r="AM106" s="53"/>
      <c r="AN106" s="53"/>
      <c r="AO106" s="53"/>
      <c r="AS106" s="53">
        <f t="shared" si="72"/>
        <v>2272.727272727273</v>
      </c>
    </row>
    <row r="107" spans="1:45">
      <c r="A107" s="2">
        <v>6314</v>
      </c>
      <c r="B107" s="2" t="s">
        <v>211</v>
      </c>
      <c r="C107" s="630"/>
      <c r="D107" s="521">
        <f t="shared" si="76"/>
        <v>0</v>
      </c>
      <c r="E107" s="630"/>
      <c r="F107" s="521">
        <f t="shared" si="76"/>
        <v>0</v>
      </c>
      <c r="G107" s="630"/>
      <c r="H107" s="521">
        <f t="shared" si="76"/>
        <v>0</v>
      </c>
      <c r="I107" s="630"/>
      <c r="J107" s="521">
        <f t="shared" si="76"/>
        <v>0</v>
      </c>
      <c r="K107" s="630"/>
      <c r="L107" s="521">
        <f t="shared" si="76"/>
        <v>0</v>
      </c>
      <c r="M107" s="630"/>
      <c r="N107" s="521">
        <f t="shared" si="76"/>
        <v>0</v>
      </c>
      <c r="O107" s="630"/>
      <c r="P107" s="521">
        <f t="shared" si="76"/>
        <v>0</v>
      </c>
      <c r="Q107" s="630"/>
      <c r="R107" s="521">
        <f t="shared" si="76"/>
        <v>0</v>
      </c>
      <c r="S107" s="630"/>
      <c r="T107" s="521">
        <f t="shared" si="77"/>
        <v>0</v>
      </c>
      <c r="U107" s="630"/>
      <c r="V107" s="521">
        <f t="shared" si="77"/>
        <v>0</v>
      </c>
      <c r="W107" s="630"/>
      <c r="X107" s="521">
        <f t="shared" si="77"/>
        <v>0</v>
      </c>
      <c r="Y107" s="630"/>
      <c r="Z107" s="521">
        <f t="shared" si="77"/>
        <v>0</v>
      </c>
      <c r="AA107" s="633">
        <f t="shared" si="78"/>
        <v>0</v>
      </c>
      <c r="AB107" s="521">
        <f t="shared" si="81"/>
        <v>0</v>
      </c>
      <c r="AC107" s="638">
        <f t="shared" si="74"/>
        <v>0</v>
      </c>
      <c r="AD107" s="521">
        <f t="shared" si="82"/>
        <v>0</v>
      </c>
      <c r="AE107" s="75"/>
      <c r="AF107" s="158"/>
      <c r="AG107" s="75"/>
      <c r="AH107" s="198">
        <v>0</v>
      </c>
      <c r="AI107" s="244">
        <f>AH107/AH12</f>
        <v>0</v>
      </c>
      <c r="AJ107" s="282">
        <f t="shared" si="35"/>
        <v>0</v>
      </c>
      <c r="AK107" s="53">
        <f t="shared" si="36"/>
        <v>0</v>
      </c>
      <c r="AL107" s="53">
        <f t="shared" si="71"/>
        <v>0</v>
      </c>
      <c r="AM107" s="53">
        <f t="shared" si="75"/>
        <v>0</v>
      </c>
      <c r="AN107" s="53" t="e">
        <f>#REF!-AM107</f>
        <v>#REF!</v>
      </c>
      <c r="AO107" s="53"/>
      <c r="AS107" s="53">
        <f t="shared" si="72"/>
        <v>0</v>
      </c>
    </row>
    <row r="108" spans="1:45">
      <c r="A108" s="2">
        <v>6315</v>
      </c>
      <c r="B108" s="2" t="s">
        <v>258</v>
      </c>
      <c r="C108" s="630"/>
      <c r="D108" s="521">
        <f t="shared" si="76"/>
        <v>0</v>
      </c>
      <c r="E108" s="630">
        <v>272</v>
      </c>
      <c r="F108" s="521">
        <f t="shared" si="76"/>
        <v>2.4241354802954384E-3</v>
      </c>
      <c r="G108" s="630">
        <v>408</v>
      </c>
      <c r="H108" s="521">
        <f t="shared" si="76"/>
        <v>2.1920981040350579E-3</v>
      </c>
      <c r="I108" s="630">
        <v>272</v>
      </c>
      <c r="J108" s="521">
        <f t="shared" si="76"/>
        <v>1.6550489733250524E-3</v>
      </c>
      <c r="K108" s="630">
        <v>162.42021276595744</v>
      </c>
      <c r="L108" s="521">
        <f t="shared" si="76"/>
        <v>1.0805625944038007E-3</v>
      </c>
      <c r="M108" s="630"/>
      <c r="N108" s="521">
        <f t="shared" si="76"/>
        <v>0</v>
      </c>
      <c r="O108" s="630">
        <v>123.125</v>
      </c>
      <c r="P108" s="521">
        <f t="shared" si="76"/>
        <v>9.1244054843462295E-4</v>
      </c>
      <c r="Q108" s="630">
        <v>162.42021276595744</v>
      </c>
      <c r="R108" s="521">
        <f t="shared" si="76"/>
        <v>9.6932200808111954E-4</v>
      </c>
      <c r="S108" s="630"/>
      <c r="T108" s="521">
        <f t="shared" si="77"/>
        <v>0</v>
      </c>
      <c r="U108" s="630">
        <v>123.125</v>
      </c>
      <c r="V108" s="521">
        <f t="shared" si="77"/>
        <v>9.1959150186120265E-4</v>
      </c>
      <c r="W108" s="630"/>
      <c r="X108" s="521">
        <f t="shared" si="77"/>
        <v>0</v>
      </c>
      <c r="Y108" s="630">
        <v>162.42021276595744</v>
      </c>
      <c r="Z108" s="521">
        <f t="shared" si="77"/>
        <v>7.8924454585514096E-4</v>
      </c>
      <c r="AA108" s="633">
        <f t="shared" si="78"/>
        <v>1685.510638297872</v>
      </c>
      <c r="AB108" s="521">
        <f t="shared" si="81"/>
        <v>8.7899072433660541E-4</v>
      </c>
      <c r="AC108" s="638">
        <f t="shared" si="74"/>
        <v>140.45921985815599</v>
      </c>
      <c r="AD108" s="521">
        <f t="shared" si="82"/>
        <v>8.789907243366053E-4</v>
      </c>
      <c r="AE108" s="75"/>
      <c r="AF108" s="158"/>
      <c r="AG108" s="75"/>
      <c r="AH108" s="527"/>
      <c r="AI108" s="244"/>
      <c r="AJ108" s="282"/>
      <c r="AK108" s="53"/>
      <c r="AL108" s="53"/>
      <c r="AM108" s="53"/>
      <c r="AN108" s="53"/>
      <c r="AO108" s="53"/>
      <c r="AS108" s="53"/>
    </row>
    <row r="109" spans="1:45">
      <c r="A109" s="2">
        <v>6316</v>
      </c>
      <c r="B109" s="2" t="s">
        <v>259</v>
      </c>
      <c r="C109" s="630"/>
      <c r="D109" s="521">
        <f t="shared" si="76"/>
        <v>0</v>
      </c>
      <c r="E109" s="630">
        <v>1356.9946808510638</v>
      </c>
      <c r="F109" s="521">
        <f t="shared" si="76"/>
        <v>1.2093893207438413E-2</v>
      </c>
      <c r="G109" s="630"/>
      <c r="H109" s="521">
        <f t="shared" si="76"/>
        <v>0</v>
      </c>
      <c r="I109" s="630"/>
      <c r="J109" s="521">
        <f t="shared" si="76"/>
        <v>0</v>
      </c>
      <c r="K109" s="630">
        <v>1047.8723404255318</v>
      </c>
      <c r="L109" s="521">
        <f t="shared" si="76"/>
        <v>6.9713715767987126E-3</v>
      </c>
      <c r="M109" s="630">
        <f>(5250*0.985)/9.4</f>
        <v>550.13297872340422</v>
      </c>
      <c r="N109" s="521">
        <f t="shared" si="76"/>
        <v>2.5811042810282201E-3</v>
      </c>
      <c r="O109" s="630"/>
      <c r="P109" s="521">
        <f t="shared" si="76"/>
        <v>0</v>
      </c>
      <c r="Q109" s="630">
        <v>1304.6010638297871</v>
      </c>
      <c r="R109" s="521">
        <f t="shared" si="76"/>
        <v>7.7858445165225401E-3</v>
      </c>
      <c r="S109" s="630">
        <f>(5250*0.985)/9.4</f>
        <v>550.13297872340422</v>
      </c>
      <c r="T109" s="521">
        <f t="shared" si="77"/>
        <v>3.2591373732359262E-3</v>
      </c>
      <c r="U109" s="630">
        <v>586.80851063829789</v>
      </c>
      <c r="V109" s="521">
        <f t="shared" si="77"/>
        <v>4.3827339663172213E-3</v>
      </c>
      <c r="W109" s="630"/>
      <c r="X109" s="521">
        <f t="shared" si="77"/>
        <v>0</v>
      </c>
      <c r="Y109" s="630"/>
      <c r="Z109" s="521">
        <f t="shared" si="77"/>
        <v>0</v>
      </c>
      <c r="AA109" s="633">
        <f t="shared" si="78"/>
        <v>5396.5425531914889</v>
      </c>
      <c r="AB109" s="521">
        <f t="shared" si="81"/>
        <v>2.8142871008713286E-3</v>
      </c>
      <c r="AC109" s="638">
        <f t="shared" si="74"/>
        <v>449.71187943262407</v>
      </c>
      <c r="AD109" s="521">
        <f t="shared" si="82"/>
        <v>2.8142871008713286E-3</v>
      </c>
      <c r="AE109" s="75"/>
      <c r="AF109" s="158"/>
      <c r="AG109" s="75"/>
      <c r="AH109" s="527"/>
      <c r="AI109" s="244"/>
      <c r="AJ109" s="282"/>
      <c r="AK109" s="53"/>
      <c r="AL109" s="53"/>
      <c r="AM109" s="53"/>
      <c r="AN109" s="53"/>
      <c r="AO109" s="53"/>
      <c r="AS109" s="53"/>
    </row>
    <row r="110" spans="1:45">
      <c r="A110" s="2">
        <v>6317</v>
      </c>
      <c r="B110" s="2" t="s">
        <v>260</v>
      </c>
      <c r="C110" s="630"/>
      <c r="D110" s="521">
        <f t="shared" si="76"/>
        <v>0</v>
      </c>
      <c r="E110" s="630">
        <v>319.60106382978722</v>
      </c>
      <c r="F110" s="521">
        <f t="shared" si="76"/>
        <v>2.8483686704777731E-3</v>
      </c>
      <c r="G110" s="630"/>
      <c r="H110" s="521">
        <f t="shared" si="76"/>
        <v>0</v>
      </c>
      <c r="I110" s="630">
        <v>1296.8730053191489</v>
      </c>
      <c r="J110" s="521">
        <f t="shared" si="76"/>
        <v>7.8911335881854134E-3</v>
      </c>
      <c r="K110" s="630">
        <v>377.88896276595744</v>
      </c>
      <c r="L110" s="521">
        <f t="shared" si="76"/>
        <v>2.5140508748830361E-3</v>
      </c>
      <c r="M110" s="630"/>
      <c r="N110" s="521">
        <f t="shared" si="76"/>
        <v>0</v>
      </c>
      <c r="O110" s="630"/>
      <c r="P110" s="521">
        <f t="shared" si="76"/>
        <v>0</v>
      </c>
      <c r="Q110" s="630">
        <v>1130.208909574468</v>
      </c>
      <c r="R110" s="521">
        <f t="shared" si="76"/>
        <v>6.7450740959102799E-3</v>
      </c>
      <c r="S110" s="630"/>
      <c r="T110" s="521">
        <f t="shared" si="77"/>
        <v>0</v>
      </c>
      <c r="U110" s="630">
        <v>319.60106382978722</v>
      </c>
      <c r="V110" s="521">
        <f t="shared" si="77"/>
        <v>2.3870247495120576E-3</v>
      </c>
      <c r="W110" s="630"/>
      <c r="X110" s="521">
        <f t="shared" si="77"/>
        <v>0</v>
      </c>
      <c r="Y110" s="630"/>
      <c r="Z110" s="521">
        <f t="shared" si="77"/>
        <v>0</v>
      </c>
      <c r="AA110" s="633">
        <f t="shared" si="78"/>
        <v>3444.1730053191482</v>
      </c>
      <c r="AB110" s="521">
        <f t="shared" si="81"/>
        <v>1.7961299418099812E-3</v>
      </c>
      <c r="AC110" s="638">
        <f t="shared" si="74"/>
        <v>287.01441710992901</v>
      </c>
      <c r="AD110" s="521">
        <f t="shared" si="82"/>
        <v>1.7961299418099812E-3</v>
      </c>
      <c r="AE110" s="75"/>
      <c r="AF110" s="158"/>
      <c r="AG110" s="75"/>
      <c r="AH110" s="527"/>
      <c r="AI110" s="244"/>
      <c r="AJ110" s="282"/>
      <c r="AK110" s="53"/>
      <c r="AL110" s="53"/>
      <c r="AM110" s="53"/>
      <c r="AN110" s="53"/>
      <c r="AO110" s="53"/>
      <c r="AS110" s="53"/>
    </row>
    <row r="111" spans="1:45">
      <c r="A111" s="2">
        <v>6318</v>
      </c>
      <c r="B111" s="2" t="s">
        <v>261</v>
      </c>
      <c r="C111" s="630"/>
      <c r="D111" s="521">
        <f t="shared" si="76"/>
        <v>0</v>
      </c>
      <c r="E111" s="630"/>
      <c r="F111" s="521">
        <f t="shared" si="76"/>
        <v>0</v>
      </c>
      <c r="G111" s="630"/>
      <c r="H111" s="521">
        <f t="shared" si="76"/>
        <v>0</v>
      </c>
      <c r="I111" s="630"/>
      <c r="J111" s="521">
        <f t="shared" si="76"/>
        <v>0</v>
      </c>
      <c r="K111" s="630"/>
      <c r="L111" s="521">
        <f t="shared" si="76"/>
        <v>0</v>
      </c>
      <c r="M111" s="630"/>
      <c r="N111" s="521">
        <f t="shared" si="76"/>
        <v>0</v>
      </c>
      <c r="O111" s="630"/>
      <c r="P111" s="521">
        <f t="shared" si="76"/>
        <v>0</v>
      </c>
      <c r="Q111" s="630"/>
      <c r="R111" s="521">
        <f t="shared" si="76"/>
        <v>0</v>
      </c>
      <c r="S111" s="630"/>
      <c r="T111" s="521">
        <f t="shared" si="77"/>
        <v>0</v>
      </c>
      <c r="U111" s="630"/>
      <c r="V111" s="521">
        <f t="shared" si="77"/>
        <v>0</v>
      </c>
      <c r="W111" s="630"/>
      <c r="X111" s="521">
        <f t="shared" si="77"/>
        <v>0</v>
      </c>
      <c r="Y111" s="630"/>
      <c r="Z111" s="521">
        <f t="shared" si="77"/>
        <v>0</v>
      </c>
      <c r="AA111" s="633">
        <f t="shared" si="78"/>
        <v>0</v>
      </c>
      <c r="AB111" s="521">
        <f t="shared" si="81"/>
        <v>0</v>
      </c>
      <c r="AC111" s="638">
        <f t="shared" si="74"/>
        <v>0</v>
      </c>
      <c r="AD111" s="521">
        <f t="shared" si="82"/>
        <v>0</v>
      </c>
      <c r="AE111" s="75"/>
      <c r="AF111" s="158"/>
      <c r="AG111" s="75"/>
      <c r="AH111" s="527"/>
      <c r="AI111" s="244"/>
      <c r="AJ111" s="282"/>
      <c r="AK111" s="53"/>
      <c r="AL111" s="53"/>
      <c r="AM111" s="53"/>
      <c r="AN111" s="53"/>
      <c r="AO111" s="53"/>
      <c r="AS111" s="53"/>
    </row>
    <row r="112" spans="1:45">
      <c r="A112" s="2">
        <v>6319</v>
      </c>
      <c r="B112" s="2" t="s">
        <v>262</v>
      </c>
      <c r="C112" s="630"/>
      <c r="D112" s="521">
        <f t="shared" si="76"/>
        <v>0</v>
      </c>
      <c r="E112" s="630">
        <v>3300</v>
      </c>
      <c r="F112" s="521">
        <f t="shared" si="76"/>
        <v>2.9410467224172596E-2</v>
      </c>
      <c r="G112" s="630">
        <v>3300</v>
      </c>
      <c r="H112" s="521">
        <f t="shared" si="76"/>
        <v>1.7730205253224732E-2</v>
      </c>
      <c r="I112" s="630">
        <v>3300</v>
      </c>
      <c r="J112" s="521">
        <f t="shared" si="76"/>
        <v>2.0079638279311297E-2</v>
      </c>
      <c r="K112" s="630">
        <v>3300</v>
      </c>
      <c r="L112" s="521">
        <f t="shared" si="76"/>
        <v>2.1954512315969146E-2</v>
      </c>
      <c r="M112" s="630"/>
      <c r="N112" s="521">
        <f t="shared" si="76"/>
        <v>0</v>
      </c>
      <c r="O112" s="630">
        <v>3300</v>
      </c>
      <c r="P112" s="521">
        <f t="shared" si="76"/>
        <v>2.445525936921223E-2</v>
      </c>
      <c r="Q112" s="630">
        <v>3300</v>
      </c>
      <c r="R112" s="521">
        <f t="shared" si="76"/>
        <v>1.9694362987179519E-2</v>
      </c>
      <c r="S112" s="630">
        <v>3300</v>
      </c>
      <c r="T112" s="521">
        <f t="shared" si="77"/>
        <v>1.9550097426691504E-2</v>
      </c>
      <c r="U112" s="630">
        <v>3300</v>
      </c>
      <c r="V112" s="521">
        <f t="shared" si="77"/>
        <v>2.4646919440746953E-2</v>
      </c>
      <c r="W112" s="630">
        <v>3300</v>
      </c>
      <c r="X112" s="521">
        <f t="shared" si="77"/>
        <v>2.4224408706042588E-2</v>
      </c>
      <c r="Y112" s="630">
        <v>3300</v>
      </c>
      <c r="Z112" s="521">
        <f t="shared" si="77"/>
        <v>1.6035608850451268E-2</v>
      </c>
      <c r="AA112" s="633">
        <f t="shared" si="78"/>
        <v>33000</v>
      </c>
      <c r="AB112" s="521">
        <f t="shared" si="81"/>
        <v>1.7209439824361267E-2</v>
      </c>
      <c r="AC112" s="638">
        <f t="shared" si="74"/>
        <v>2750</v>
      </c>
      <c r="AD112" s="521">
        <f t="shared" si="82"/>
        <v>1.7209439824361267E-2</v>
      </c>
      <c r="AE112" s="75"/>
      <c r="AF112" s="158"/>
      <c r="AG112" s="75"/>
      <c r="AH112" s="527"/>
      <c r="AI112" s="244"/>
      <c r="AJ112" s="282"/>
      <c r="AK112" s="53"/>
      <c r="AL112" s="53"/>
      <c r="AM112" s="53"/>
      <c r="AN112" s="53"/>
      <c r="AO112" s="53"/>
      <c r="AS112" s="53"/>
    </row>
    <row r="113" spans="1:45">
      <c r="A113" s="2">
        <v>6320</v>
      </c>
      <c r="B113" s="2" t="s">
        <v>263</v>
      </c>
      <c r="C113" s="630"/>
      <c r="D113" s="521">
        <f t="shared" si="76"/>
        <v>0</v>
      </c>
      <c r="E113" s="630"/>
      <c r="F113" s="521">
        <f t="shared" si="76"/>
        <v>0</v>
      </c>
      <c r="G113" s="630"/>
      <c r="H113" s="521">
        <f t="shared" si="76"/>
        <v>0</v>
      </c>
      <c r="I113" s="630"/>
      <c r="J113" s="521">
        <f t="shared" si="76"/>
        <v>0</v>
      </c>
      <c r="K113" s="630"/>
      <c r="L113" s="521">
        <f t="shared" si="76"/>
        <v>0</v>
      </c>
      <c r="M113" s="630"/>
      <c r="N113" s="521">
        <f t="shared" si="76"/>
        <v>0</v>
      </c>
      <c r="O113" s="630"/>
      <c r="P113" s="521">
        <f t="shared" si="76"/>
        <v>0</v>
      </c>
      <c r="Q113" s="630"/>
      <c r="R113" s="521">
        <f t="shared" si="76"/>
        <v>0</v>
      </c>
      <c r="S113" s="630"/>
      <c r="T113" s="521">
        <f t="shared" si="77"/>
        <v>0</v>
      </c>
      <c r="U113" s="630"/>
      <c r="V113" s="521">
        <f t="shared" si="77"/>
        <v>0</v>
      </c>
      <c r="W113" s="630"/>
      <c r="X113" s="521">
        <f t="shared" si="77"/>
        <v>0</v>
      </c>
      <c r="Y113" s="630"/>
      <c r="Z113" s="521">
        <f t="shared" si="77"/>
        <v>0</v>
      </c>
      <c r="AA113" s="633">
        <f t="shared" si="78"/>
        <v>0</v>
      </c>
      <c r="AB113" s="521">
        <f t="shared" si="81"/>
        <v>0</v>
      </c>
      <c r="AC113" s="638">
        <f t="shared" si="74"/>
        <v>0</v>
      </c>
      <c r="AD113" s="521">
        <f t="shared" si="82"/>
        <v>0</v>
      </c>
      <c r="AE113" s="75"/>
      <c r="AF113" s="158"/>
      <c r="AG113" s="75"/>
      <c r="AH113" s="527"/>
      <c r="AI113" s="244"/>
      <c r="AJ113" s="282"/>
      <c r="AK113" s="53"/>
      <c r="AL113" s="53"/>
      <c r="AM113" s="53"/>
      <c r="AN113" s="53"/>
      <c r="AO113" s="53"/>
      <c r="AS113" s="53"/>
    </row>
    <row r="114" spans="1:45">
      <c r="A114" s="2">
        <v>6321</v>
      </c>
      <c r="B114" s="2" t="s">
        <v>264</v>
      </c>
      <c r="C114" s="174">
        <v>93.085106382978722</v>
      </c>
      <c r="D114" s="635">
        <f t="shared" si="76"/>
        <v>6.4542931302421765E-4</v>
      </c>
      <c r="E114" s="174">
        <v>93.085106382978722</v>
      </c>
      <c r="F114" s="635">
        <f t="shared" si="76"/>
        <v>8.2959893040461064E-4</v>
      </c>
      <c r="G114" s="174">
        <v>93.085106382978722</v>
      </c>
      <c r="H114" s="635">
        <f t="shared" si="76"/>
        <v>5.0012667945105221E-4</v>
      </c>
      <c r="I114" s="174">
        <v>93.085106382978722</v>
      </c>
      <c r="J114" s="635">
        <f t="shared" si="76"/>
        <v>5.663985652610376E-4</v>
      </c>
      <c r="K114" s="174">
        <v>93.085106382978722</v>
      </c>
      <c r="L114" s="635">
        <f t="shared" si="76"/>
        <v>6.1928427712678929E-4</v>
      </c>
      <c r="M114" s="174"/>
      <c r="N114" s="635">
        <f t="shared" si="76"/>
        <v>0</v>
      </c>
      <c r="O114" s="174">
        <v>93.085106382978722</v>
      </c>
      <c r="P114" s="635">
        <f t="shared" si="76"/>
        <v>6.8982436969892654E-4</v>
      </c>
      <c r="Q114" s="174">
        <v>93.085106382978722</v>
      </c>
      <c r="R114" s="635">
        <f t="shared" si="76"/>
        <v>5.5553087085048606E-4</v>
      </c>
      <c r="S114" s="174">
        <v>93.085106382978722</v>
      </c>
      <c r="T114" s="635">
        <f t="shared" si="77"/>
        <v>5.5146148447308399E-4</v>
      </c>
      <c r="U114" s="174">
        <v>93.085106382978722</v>
      </c>
      <c r="V114" s="635">
        <f t="shared" si="77"/>
        <v>6.9523064186504139E-4</v>
      </c>
      <c r="W114" s="174">
        <v>93.085106382978722</v>
      </c>
      <c r="X114" s="635">
        <f t="shared" si="77"/>
        <v>6.8331262468688799E-4</v>
      </c>
      <c r="Y114" s="174"/>
      <c r="Z114" s="635">
        <f t="shared" si="77"/>
        <v>0</v>
      </c>
      <c r="AA114" s="636">
        <f t="shared" si="78"/>
        <v>930.85106382978711</v>
      </c>
      <c r="AB114" s="635">
        <f t="shared" si="81"/>
        <v>4.8543713237640576E-4</v>
      </c>
      <c r="AC114" s="639">
        <f t="shared" si="74"/>
        <v>77.570921985815588</v>
      </c>
      <c r="AD114" s="635">
        <f t="shared" si="82"/>
        <v>4.8543713237640576E-4</v>
      </c>
      <c r="AE114" s="75"/>
      <c r="AF114" s="158"/>
      <c r="AG114" s="75"/>
      <c r="AH114" s="527"/>
      <c r="AI114" s="244"/>
      <c r="AJ114" s="282"/>
      <c r="AK114" s="53"/>
      <c r="AL114" s="53"/>
      <c r="AM114" s="53"/>
      <c r="AN114" s="53"/>
      <c r="AO114" s="53"/>
      <c r="AS114" s="53"/>
    </row>
    <row r="115" spans="1:45" ht="15.75" thickBot="1">
      <c r="A115" s="4">
        <v>6399</v>
      </c>
      <c r="B115" s="109" t="s">
        <v>101</v>
      </c>
      <c r="C115" s="165">
        <f>SUM(C94:C114)</f>
        <v>4488.8212885844414</v>
      </c>
      <c r="D115" s="529">
        <f>C115/C12</f>
        <v>3.112438663022591E-2</v>
      </c>
      <c r="E115" s="165">
        <f>SUM(E94:E114)</f>
        <v>6652.874587056217</v>
      </c>
      <c r="F115" s="529">
        <f>E115/E12</f>
        <v>5.9292166663378082E-2</v>
      </c>
      <c r="G115" s="165">
        <f>SUM(G94:G114)</f>
        <v>5003.5527510478405</v>
      </c>
      <c r="H115" s="529">
        <f>G115/G12</f>
        <v>2.6883035536792568E-2</v>
      </c>
      <c r="I115" s="165">
        <f>SUM(I94:I114)</f>
        <v>5645.9631134551646</v>
      </c>
      <c r="J115" s="529">
        <f>I115/I12</f>
        <v>3.4354211229246645E-2</v>
      </c>
      <c r="K115" s="165">
        <f>SUM(K94:K114)</f>
        <v>6650.5523678013014</v>
      </c>
      <c r="L115" s="529">
        <f>K115/K12</f>
        <v>4.4245343596027713E-2</v>
      </c>
      <c r="M115" s="165">
        <f>SUM(M94:M114)</f>
        <v>998.59796124123443</v>
      </c>
      <c r="N115" s="529">
        <f>M115/M12</f>
        <v>4.6852044368743623E-3</v>
      </c>
      <c r="O115" s="165">
        <f>SUM(O94:O114)</f>
        <v>4560.3855720692536</v>
      </c>
      <c r="P115" s="529">
        <f>O115/O12</f>
        <v>3.3795579390474818E-2</v>
      </c>
      <c r="Q115" s="165">
        <f>SUM(Q94:Q114)</f>
        <v>6806.3146669202979</v>
      </c>
      <c r="R115" s="530">
        <f>Q115/Q12</f>
        <v>4.0620009592512787E-2</v>
      </c>
      <c r="S115" s="165">
        <f>SUM(S94:S114)</f>
        <v>5554.8138699233423</v>
      </c>
      <c r="T115" s="529">
        <f>S115/S12</f>
        <v>3.2908227983072302E-2</v>
      </c>
      <c r="U115" s="165">
        <f>SUM(U94:U114)</f>
        <v>5592.6308932067432</v>
      </c>
      <c r="V115" s="529">
        <f>U115/U12</f>
        <v>4.1770037298999779E-2</v>
      </c>
      <c r="W115" s="165">
        <f>SUM(W94:W114)</f>
        <v>4538.7399290399235</v>
      </c>
      <c r="X115" s="529">
        <f>W115/W12</f>
        <v>3.3317663954999348E-2</v>
      </c>
      <c r="Y115" s="165">
        <f>SUM(Y94:Y114)</f>
        <v>4878.4729119522681</v>
      </c>
      <c r="Z115" s="529">
        <f>Y115/Y12</f>
        <v>2.3705843455632897E-2</v>
      </c>
      <c r="AA115" s="165">
        <f>SUM(AA94:AA114)</f>
        <v>61371.719912298031</v>
      </c>
      <c r="AB115" s="531">
        <f>AA115/AA12</f>
        <v>3.2005240022674158E-2</v>
      </c>
      <c r="AC115" s="532">
        <f t="shared" si="74"/>
        <v>5114.3099926915029</v>
      </c>
      <c r="AD115" s="531">
        <f>AC115/AC12</f>
        <v>3.2005240022674158E-2</v>
      </c>
      <c r="AE115" s="75"/>
      <c r="AF115" s="158"/>
      <c r="AG115" s="75"/>
      <c r="AH115" s="199">
        <f>SUM(AH94:AH107)</f>
        <v>36469.838933130704</v>
      </c>
      <c r="AI115" s="248">
        <f>AH115/AH12</f>
        <v>4.5291198961105346E-2</v>
      </c>
      <c r="AJ115" s="286">
        <f t="shared" si="35"/>
        <v>102955.86883812025</v>
      </c>
      <c r="AK115" s="53">
        <f t="shared" si="36"/>
        <v>0</v>
      </c>
      <c r="AL115" s="53">
        <f t="shared" si="71"/>
        <v>61371.719912298024</v>
      </c>
      <c r="AM115" s="53">
        <f t="shared" si="75"/>
        <v>472162.22594457929</v>
      </c>
      <c r="AN115" s="53" t="e">
        <f>#REF!-AM115</f>
        <v>#REF!</v>
      </c>
      <c r="AO115" s="53"/>
      <c r="AS115" s="53">
        <f t="shared" si="72"/>
        <v>63979.3578690508</v>
      </c>
    </row>
    <row r="116" spans="1:45" ht="15.75" thickTop="1">
      <c r="A116" s="16">
        <v>6401</v>
      </c>
      <c r="B116" s="107" t="s">
        <v>89</v>
      </c>
      <c r="C116" s="524">
        <v>0</v>
      </c>
      <c r="D116" s="521">
        <f>C116/C12</f>
        <v>0</v>
      </c>
      <c r="E116" s="524">
        <v>0</v>
      </c>
      <c r="F116" s="521">
        <f>E116/E12</f>
        <v>0</v>
      </c>
      <c r="G116" s="524">
        <v>0</v>
      </c>
      <c r="H116" s="521">
        <f>G116/G12</f>
        <v>0</v>
      </c>
      <c r="I116" s="524">
        <v>0</v>
      </c>
      <c r="J116" s="521">
        <f>I116/I12</f>
        <v>0</v>
      </c>
      <c r="K116" s="524">
        <v>0</v>
      </c>
      <c r="L116" s="521">
        <f>K116/K12</f>
        <v>0</v>
      </c>
      <c r="M116" s="524">
        <v>0</v>
      </c>
      <c r="N116" s="521">
        <f>M116/M12</f>
        <v>0</v>
      </c>
      <c r="O116" s="524">
        <v>0</v>
      </c>
      <c r="P116" s="521">
        <f>O116/O12</f>
        <v>0</v>
      </c>
      <c r="Q116" s="524">
        <v>0</v>
      </c>
      <c r="R116" s="521">
        <f>Q116/Q12</f>
        <v>0</v>
      </c>
      <c r="S116" s="524">
        <v>0</v>
      </c>
      <c r="T116" s="521">
        <f>S116/S12</f>
        <v>0</v>
      </c>
      <c r="U116" s="524">
        <v>0</v>
      </c>
      <c r="V116" s="521">
        <f>U116/U12</f>
        <v>0</v>
      </c>
      <c r="W116" s="524">
        <v>0</v>
      </c>
      <c r="X116" s="521">
        <f>W116/W12</f>
        <v>0</v>
      </c>
      <c r="Y116" s="524">
        <v>0</v>
      </c>
      <c r="Z116" s="168">
        <f>Y116/Y12</f>
        <v>0</v>
      </c>
      <c r="AA116" s="275">
        <f t="shared" ref="AA116:AA128" si="83">C116+E116+G116+I116+K116+M116+O116+Q116+S116+U116+W116+Y116</f>
        <v>0</v>
      </c>
      <c r="AB116" s="203">
        <f>AA116/AA12</f>
        <v>0</v>
      </c>
      <c r="AC116" s="194">
        <f t="shared" si="74"/>
        <v>0</v>
      </c>
      <c r="AD116" s="203">
        <f>AC116/AC12</f>
        <v>0</v>
      </c>
      <c r="AE116" s="75"/>
      <c r="AF116" s="158"/>
      <c r="AG116" s="75"/>
      <c r="AH116" s="194"/>
      <c r="AI116" s="244">
        <f>AH116/AH12</f>
        <v>0</v>
      </c>
      <c r="AJ116" s="282">
        <f t="shared" ref="AJ116:AJ152" si="84">SUM(AA116+AC116+AH116)</f>
        <v>0</v>
      </c>
      <c r="AK116" s="53">
        <f t="shared" si="36"/>
        <v>0</v>
      </c>
      <c r="AL116" s="53">
        <f t="shared" si="71"/>
        <v>0</v>
      </c>
      <c r="AM116" s="53">
        <f t="shared" si="75"/>
        <v>0</v>
      </c>
      <c r="AN116" s="53" t="e">
        <f>#REF!-AM116</f>
        <v>#REF!</v>
      </c>
      <c r="AO116" s="53"/>
      <c r="AS116" s="53">
        <f t="shared" si="72"/>
        <v>0</v>
      </c>
    </row>
    <row r="117" spans="1:45">
      <c r="A117" s="98">
        <v>6402</v>
      </c>
      <c r="B117" s="2" t="s">
        <v>75</v>
      </c>
      <c r="C117" s="524">
        <v>50</v>
      </c>
      <c r="D117" s="521">
        <f>C117/C12</f>
        <v>3.4668774528157976E-4</v>
      </c>
      <c r="E117" s="524">
        <v>50</v>
      </c>
      <c r="F117" s="521">
        <f>E117/E12</f>
        <v>4.4561313976019086E-4</v>
      </c>
      <c r="G117" s="524">
        <v>50</v>
      </c>
      <c r="H117" s="521">
        <f>G117/G12</f>
        <v>2.6863947353370805E-4</v>
      </c>
      <c r="I117" s="524">
        <v>50</v>
      </c>
      <c r="J117" s="521">
        <f>I117/I12</f>
        <v>3.0423694362592874E-4</v>
      </c>
      <c r="K117" s="524">
        <v>50</v>
      </c>
      <c r="L117" s="521">
        <f>K117/K12</f>
        <v>3.3264412599953253E-4</v>
      </c>
      <c r="M117" s="524">
        <v>50</v>
      </c>
      <c r="N117" s="521">
        <f>M117/M12</f>
        <v>2.3458912488919767E-4</v>
      </c>
      <c r="O117" s="524">
        <v>50</v>
      </c>
      <c r="P117" s="521">
        <f>O117/O12</f>
        <v>3.7053423286685199E-4</v>
      </c>
      <c r="Q117" s="524">
        <v>50</v>
      </c>
      <c r="R117" s="521">
        <f>Q117/Q12</f>
        <v>2.9839943919968967E-4</v>
      </c>
      <c r="S117" s="524">
        <v>50</v>
      </c>
      <c r="T117" s="521">
        <f>S117/S12</f>
        <v>2.9621359737411369E-4</v>
      </c>
      <c r="U117" s="524">
        <v>50</v>
      </c>
      <c r="V117" s="521">
        <f>U117/U12</f>
        <v>3.7343817334465083E-4</v>
      </c>
      <c r="W117" s="524">
        <v>50</v>
      </c>
      <c r="X117" s="521">
        <f>W117/W12</f>
        <v>3.6703649554609982E-4</v>
      </c>
      <c r="Y117" s="524">
        <v>50</v>
      </c>
      <c r="Z117" s="168">
        <f>Y117/Y12</f>
        <v>2.4296377046138286E-4</v>
      </c>
      <c r="AA117" s="275">
        <f t="shared" si="83"/>
        <v>600</v>
      </c>
      <c r="AB117" s="203">
        <f>AA117/AA12</f>
        <v>3.1289890589747762E-4</v>
      </c>
      <c r="AC117" s="196">
        <f t="shared" si="74"/>
        <v>50</v>
      </c>
      <c r="AD117" s="203">
        <f>AC117/AC12</f>
        <v>3.1289890589747762E-4</v>
      </c>
      <c r="AE117" s="159"/>
      <c r="AF117" s="227"/>
      <c r="AG117" s="75"/>
      <c r="AH117" s="196">
        <v>1100.269</v>
      </c>
      <c r="AI117" s="244">
        <f>AH117/AH12</f>
        <v>1.3664031333153633E-3</v>
      </c>
      <c r="AJ117" s="282">
        <f t="shared" si="84"/>
        <v>1750.269</v>
      </c>
      <c r="AK117" s="53">
        <f t="shared" si="36"/>
        <v>0</v>
      </c>
      <c r="AL117" s="53">
        <f t="shared" si="71"/>
        <v>600</v>
      </c>
      <c r="AM117" s="53">
        <f t="shared" si="75"/>
        <v>4700</v>
      </c>
      <c r="AN117" s="53" t="e">
        <f>#REF!-AM117</f>
        <v>#REF!</v>
      </c>
      <c r="AO117" s="53"/>
      <c r="AS117" s="53">
        <f t="shared" si="72"/>
        <v>470</v>
      </c>
    </row>
    <row r="118" spans="1:45" s="539" customFormat="1">
      <c r="A118" s="98">
        <v>6403</v>
      </c>
      <c r="B118" s="2" t="s">
        <v>270</v>
      </c>
      <c r="C118" s="524">
        <v>0</v>
      </c>
      <c r="D118" s="521">
        <f>C118/C12</f>
        <v>0</v>
      </c>
      <c r="E118" s="524">
        <v>0</v>
      </c>
      <c r="F118" s="521">
        <f>E118/E12</f>
        <v>0</v>
      </c>
      <c r="G118" s="524">
        <v>0</v>
      </c>
      <c r="H118" s="521">
        <f>G118/G12</f>
        <v>0</v>
      </c>
      <c r="I118" s="524">
        <v>0</v>
      </c>
      <c r="J118" s="521">
        <f>I118/I12</f>
        <v>0</v>
      </c>
      <c r="K118" s="524">
        <v>0</v>
      </c>
      <c r="L118" s="521">
        <f>K118/K12</f>
        <v>0</v>
      </c>
      <c r="M118" s="524">
        <v>0</v>
      </c>
      <c r="N118" s="521">
        <f>M118/M12</f>
        <v>0</v>
      </c>
      <c r="O118" s="524">
        <v>0</v>
      </c>
      <c r="P118" s="521">
        <f>O118/O12</f>
        <v>0</v>
      </c>
      <c r="Q118" s="524">
        <v>0</v>
      </c>
      <c r="R118" s="521">
        <f>Q118/Q12</f>
        <v>0</v>
      </c>
      <c r="S118" s="524">
        <v>0</v>
      </c>
      <c r="T118" s="521">
        <f>S118/S12</f>
        <v>0</v>
      </c>
      <c r="U118" s="524">
        <v>0</v>
      </c>
      <c r="V118" s="521">
        <f>U118/U12</f>
        <v>0</v>
      </c>
      <c r="W118" s="524">
        <v>0</v>
      </c>
      <c r="X118" s="521">
        <f>W118/W12</f>
        <v>0</v>
      </c>
      <c r="Y118" s="524">
        <v>0</v>
      </c>
      <c r="Z118" s="521">
        <f>Y118/Y12</f>
        <v>0</v>
      </c>
      <c r="AA118" s="524">
        <v>0</v>
      </c>
      <c r="AB118" s="521">
        <f>AA118/AA12</f>
        <v>0</v>
      </c>
      <c r="AC118" s="524">
        <v>0</v>
      </c>
      <c r="AD118" s="521">
        <f>AC118/AC12</f>
        <v>0</v>
      </c>
      <c r="AE118" s="159"/>
      <c r="AF118" s="227"/>
      <c r="AG118" s="542"/>
      <c r="AH118" s="526"/>
      <c r="AI118" s="244"/>
      <c r="AJ118" s="282"/>
      <c r="AK118" s="53"/>
      <c r="AL118" s="53"/>
      <c r="AM118" s="53"/>
      <c r="AN118" s="53"/>
      <c r="AO118" s="53"/>
      <c r="AS118" s="53"/>
    </row>
    <row r="119" spans="1:45">
      <c r="A119" s="98">
        <v>6404</v>
      </c>
      <c r="B119" s="2" t="s">
        <v>91</v>
      </c>
      <c r="C119" s="524">
        <v>0</v>
      </c>
      <c r="D119" s="521">
        <f>C119/C12</f>
        <v>0</v>
      </c>
      <c r="E119" s="524">
        <v>0</v>
      </c>
      <c r="F119" s="521">
        <f>E119/E12</f>
        <v>0</v>
      </c>
      <c r="G119" s="524">
        <v>0</v>
      </c>
      <c r="H119" s="521">
        <f>G119/G12</f>
        <v>0</v>
      </c>
      <c r="I119" s="524">
        <v>0</v>
      </c>
      <c r="J119" s="521">
        <f>I119/I12</f>
        <v>0</v>
      </c>
      <c r="K119" s="524">
        <v>0</v>
      </c>
      <c r="L119" s="521">
        <f>K119/K12</f>
        <v>0</v>
      </c>
      <c r="M119" s="524">
        <v>0</v>
      </c>
      <c r="N119" s="521">
        <f>M119/M12</f>
        <v>0</v>
      </c>
      <c r="O119" s="524">
        <v>0</v>
      </c>
      <c r="P119" s="521">
        <f>O119/O12</f>
        <v>0</v>
      </c>
      <c r="Q119" s="524">
        <v>0</v>
      </c>
      <c r="R119" s="521">
        <f>Q119/Q12</f>
        <v>0</v>
      </c>
      <c r="S119" s="524">
        <v>0</v>
      </c>
      <c r="T119" s="521">
        <f>S119/S12</f>
        <v>0</v>
      </c>
      <c r="U119" s="524">
        <v>0</v>
      </c>
      <c r="V119" s="521">
        <f>U119/U12</f>
        <v>0</v>
      </c>
      <c r="W119" s="524">
        <v>0</v>
      </c>
      <c r="X119" s="521">
        <f>W119/W12</f>
        <v>0</v>
      </c>
      <c r="Y119" s="524">
        <v>0</v>
      </c>
      <c r="Z119" s="168">
        <f>Y119/Y12</f>
        <v>0</v>
      </c>
      <c r="AA119" s="275">
        <f t="shared" si="83"/>
        <v>0</v>
      </c>
      <c r="AB119" s="203">
        <f>AA119/AA12</f>
        <v>0</v>
      </c>
      <c r="AC119" s="196">
        <f t="shared" si="74"/>
        <v>0</v>
      </c>
      <c r="AD119" s="203">
        <f>AC119/AC12</f>
        <v>0</v>
      </c>
      <c r="AE119" s="159"/>
      <c r="AF119" s="227"/>
      <c r="AG119" s="75"/>
      <c r="AH119" s="196">
        <v>0</v>
      </c>
      <c r="AI119" s="244">
        <f>AH119/AH12</f>
        <v>0</v>
      </c>
      <c r="AJ119" s="282">
        <f t="shared" si="84"/>
        <v>0</v>
      </c>
      <c r="AK119" s="53">
        <f t="shared" si="36"/>
        <v>0</v>
      </c>
      <c r="AL119" s="53">
        <f t="shared" si="71"/>
        <v>0</v>
      </c>
      <c r="AM119" s="53">
        <f t="shared" si="75"/>
        <v>0</v>
      </c>
      <c r="AN119" s="53" t="e">
        <f>#REF!-AM119</f>
        <v>#REF!</v>
      </c>
      <c r="AO119" s="53"/>
      <c r="AS119" s="53">
        <f t="shared" si="72"/>
        <v>0</v>
      </c>
    </row>
    <row r="120" spans="1:45">
      <c r="A120" s="98">
        <v>6406</v>
      </c>
      <c r="B120" s="2" t="s">
        <v>73</v>
      </c>
      <c r="C120" s="540">
        <v>75</v>
      </c>
      <c r="D120" s="521">
        <f>C120/C12</f>
        <v>5.2003161792236964E-4</v>
      </c>
      <c r="E120" s="540">
        <v>75</v>
      </c>
      <c r="F120" s="521">
        <f>E120/E12</f>
        <v>6.6841970964028627E-4</v>
      </c>
      <c r="G120" s="540">
        <v>75</v>
      </c>
      <c r="H120" s="521">
        <f>G120/G12</f>
        <v>4.0295921030056206E-4</v>
      </c>
      <c r="I120" s="540">
        <v>75</v>
      </c>
      <c r="J120" s="521">
        <f>I120/I12</f>
        <v>4.5635541543889312E-4</v>
      </c>
      <c r="K120" s="540">
        <v>75</v>
      </c>
      <c r="L120" s="521">
        <f>K120/K12</f>
        <v>4.9896618899929884E-4</v>
      </c>
      <c r="M120" s="540">
        <v>75</v>
      </c>
      <c r="N120" s="521">
        <f>M120/M12</f>
        <v>3.5188368733379653E-4</v>
      </c>
      <c r="O120" s="540">
        <v>75</v>
      </c>
      <c r="P120" s="521">
        <f>O120/O12</f>
        <v>5.5580134930027791E-4</v>
      </c>
      <c r="Q120" s="540">
        <v>75</v>
      </c>
      <c r="R120" s="521">
        <f>Q120/Q12</f>
        <v>4.4759915879953447E-4</v>
      </c>
      <c r="S120" s="540">
        <v>75</v>
      </c>
      <c r="T120" s="521">
        <f>S120/S12</f>
        <v>4.4432039606117052E-4</v>
      </c>
      <c r="U120" s="540">
        <v>75</v>
      </c>
      <c r="V120" s="521">
        <f>U120/U12</f>
        <v>5.601572600169762E-4</v>
      </c>
      <c r="W120" s="540">
        <v>75</v>
      </c>
      <c r="X120" s="521">
        <f>W120/W12</f>
        <v>5.505547433191497E-4</v>
      </c>
      <c r="Y120" s="540">
        <v>75</v>
      </c>
      <c r="Z120" s="168">
        <f>Y120/Y12</f>
        <v>3.6444565569207428E-4</v>
      </c>
      <c r="AA120" s="275">
        <f t="shared" si="83"/>
        <v>900</v>
      </c>
      <c r="AB120" s="203">
        <f>AA120/AA12</f>
        <v>4.6934835884621638E-4</v>
      </c>
      <c r="AC120" s="194">
        <f t="shared" si="74"/>
        <v>75</v>
      </c>
      <c r="AD120" s="203">
        <f>AC120/AC12</f>
        <v>4.6934835884621638E-4</v>
      </c>
      <c r="AE120" s="159"/>
      <c r="AF120" s="227"/>
      <c r="AG120" s="75"/>
      <c r="AH120" s="194">
        <v>0</v>
      </c>
      <c r="AI120" s="244">
        <f>AH120/AH12</f>
        <v>0</v>
      </c>
      <c r="AJ120" s="282">
        <f t="shared" si="84"/>
        <v>975</v>
      </c>
      <c r="AK120" s="53">
        <f t="shared" si="36"/>
        <v>0</v>
      </c>
      <c r="AL120" s="53">
        <f t="shared" si="71"/>
        <v>900</v>
      </c>
      <c r="AM120" s="53">
        <f t="shared" si="75"/>
        <v>7050</v>
      </c>
      <c r="AN120" s="53" t="e">
        <f>#REF!-AM120</f>
        <v>#REF!</v>
      </c>
      <c r="AO120" s="53"/>
      <c r="AS120" s="53">
        <f t="shared" si="72"/>
        <v>705</v>
      </c>
    </row>
    <row r="121" spans="1:45">
      <c r="A121" s="2">
        <v>6407</v>
      </c>
      <c r="B121" s="108" t="s">
        <v>74</v>
      </c>
      <c r="C121" s="509">
        <v>0</v>
      </c>
      <c r="D121" s="521">
        <f>C121/C12</f>
        <v>0</v>
      </c>
      <c r="E121" s="509">
        <v>0</v>
      </c>
      <c r="F121" s="521">
        <f>E121/E12</f>
        <v>0</v>
      </c>
      <c r="G121" s="509">
        <v>0</v>
      </c>
      <c r="H121" s="521">
        <f>G121/G12</f>
        <v>0</v>
      </c>
      <c r="I121" s="509">
        <v>0</v>
      </c>
      <c r="J121" s="521">
        <f>I121/I12</f>
        <v>0</v>
      </c>
      <c r="K121" s="509">
        <v>0</v>
      </c>
      <c r="L121" s="521">
        <f>K121/K12</f>
        <v>0</v>
      </c>
      <c r="M121" s="509">
        <v>0</v>
      </c>
      <c r="N121" s="521">
        <f>M121/M12</f>
        <v>0</v>
      </c>
      <c r="O121" s="509">
        <v>0</v>
      </c>
      <c r="P121" s="521">
        <f>O121/O12</f>
        <v>0</v>
      </c>
      <c r="Q121" s="509">
        <v>0</v>
      </c>
      <c r="R121" s="521">
        <f>Q121/Q12</f>
        <v>0</v>
      </c>
      <c r="S121" s="509">
        <v>0</v>
      </c>
      <c r="T121" s="521">
        <f>S121/S12</f>
        <v>0</v>
      </c>
      <c r="U121" s="509">
        <v>0</v>
      </c>
      <c r="V121" s="521">
        <f>U121/U12</f>
        <v>0</v>
      </c>
      <c r="W121" s="509">
        <v>0</v>
      </c>
      <c r="X121" s="521">
        <f>W121/W12</f>
        <v>0</v>
      </c>
      <c r="Y121" s="509">
        <v>0</v>
      </c>
      <c r="Z121" s="168">
        <f>Y121/Y12</f>
        <v>0</v>
      </c>
      <c r="AA121" s="275">
        <f t="shared" si="83"/>
        <v>0</v>
      </c>
      <c r="AB121" s="203">
        <f>AA121/AA12</f>
        <v>0</v>
      </c>
      <c r="AC121" s="194">
        <f t="shared" si="74"/>
        <v>0</v>
      </c>
      <c r="AD121" s="203">
        <f>AC121/AC12</f>
        <v>0</v>
      </c>
      <c r="AE121" s="159"/>
      <c r="AF121" s="227"/>
      <c r="AG121" s="75"/>
      <c r="AH121" s="194">
        <v>0</v>
      </c>
      <c r="AI121" s="244">
        <f>AH121/AH12</f>
        <v>0</v>
      </c>
      <c r="AJ121" s="282">
        <f t="shared" si="84"/>
        <v>0</v>
      </c>
      <c r="AK121" s="53">
        <f t="shared" si="36"/>
        <v>0</v>
      </c>
      <c r="AL121" s="53">
        <f t="shared" si="71"/>
        <v>0</v>
      </c>
      <c r="AM121" s="53">
        <f t="shared" si="75"/>
        <v>0</v>
      </c>
      <c r="AN121" s="53" t="e">
        <f>#REF!-AM121</f>
        <v>#REF!</v>
      </c>
      <c r="AO121" s="53"/>
      <c r="AS121" s="53">
        <f t="shared" si="72"/>
        <v>0</v>
      </c>
    </row>
    <row r="122" spans="1:45">
      <c r="A122" s="2">
        <v>6408</v>
      </c>
      <c r="B122" s="108" t="s">
        <v>43</v>
      </c>
      <c r="C122" s="524">
        <v>0</v>
      </c>
      <c r="D122" s="168">
        <f>C122/C$12</f>
        <v>0</v>
      </c>
      <c r="E122" s="524">
        <v>0</v>
      </c>
      <c r="F122" s="521">
        <f>E122/E12</f>
        <v>0</v>
      </c>
      <c r="G122" s="524">
        <v>0</v>
      </c>
      <c r="H122" s="521">
        <f>G122/G12</f>
        <v>0</v>
      </c>
      <c r="I122" s="524">
        <v>0</v>
      </c>
      <c r="J122" s="521">
        <f>I122/I12</f>
        <v>0</v>
      </c>
      <c r="K122" s="524">
        <v>0</v>
      </c>
      <c r="L122" s="521">
        <f>K122/K12</f>
        <v>0</v>
      </c>
      <c r="M122" s="524">
        <v>0</v>
      </c>
      <c r="N122" s="521">
        <f>M122/M12</f>
        <v>0</v>
      </c>
      <c r="O122" s="524">
        <v>0</v>
      </c>
      <c r="P122" s="521">
        <f>O122/O12</f>
        <v>0</v>
      </c>
      <c r="Q122" s="524">
        <v>0</v>
      </c>
      <c r="R122" s="521">
        <f>Q122/Q12</f>
        <v>0</v>
      </c>
      <c r="S122" s="524">
        <v>0</v>
      </c>
      <c r="T122" s="521">
        <f>S122/S12</f>
        <v>0</v>
      </c>
      <c r="U122" s="524">
        <v>0</v>
      </c>
      <c r="V122" s="521">
        <f>U122/U12</f>
        <v>0</v>
      </c>
      <c r="W122" s="524">
        <v>0</v>
      </c>
      <c r="X122" s="521">
        <f>W122/W12</f>
        <v>0</v>
      </c>
      <c r="Y122" s="524">
        <v>0</v>
      </c>
      <c r="Z122" s="168">
        <f>Y122/Y12</f>
        <v>0</v>
      </c>
      <c r="AA122" s="275">
        <f t="shared" si="83"/>
        <v>0</v>
      </c>
      <c r="AB122" s="203">
        <f>AA122/AA12</f>
        <v>0</v>
      </c>
      <c r="AC122" s="194">
        <f t="shared" si="74"/>
        <v>0</v>
      </c>
      <c r="AD122" s="203">
        <f>AC122/AC12</f>
        <v>0</v>
      </c>
      <c r="AE122" s="159"/>
      <c r="AF122" s="227"/>
      <c r="AG122" s="75"/>
      <c r="AH122" s="194">
        <v>0</v>
      </c>
      <c r="AI122" s="244">
        <f>AH122/AH12</f>
        <v>0</v>
      </c>
      <c r="AJ122" s="282">
        <f t="shared" si="84"/>
        <v>0</v>
      </c>
      <c r="AK122" s="53">
        <f t="shared" si="36"/>
        <v>0</v>
      </c>
      <c r="AL122" s="53">
        <f t="shared" si="71"/>
        <v>0</v>
      </c>
      <c r="AM122" s="53">
        <f t="shared" si="75"/>
        <v>0</v>
      </c>
      <c r="AN122" s="53" t="e">
        <f>#REF!-AM122</f>
        <v>#REF!</v>
      </c>
      <c r="AO122" s="53"/>
      <c r="AS122" s="53">
        <f t="shared" si="72"/>
        <v>0</v>
      </c>
    </row>
    <row r="123" spans="1:45">
      <c r="A123" s="2">
        <v>6410</v>
      </c>
      <c r="B123" s="108" t="s">
        <v>105</v>
      </c>
      <c r="C123" s="524">
        <v>0</v>
      </c>
      <c r="D123" s="521"/>
      <c r="E123" s="524">
        <v>0</v>
      </c>
      <c r="F123" s="521"/>
      <c r="G123" s="524">
        <v>0</v>
      </c>
      <c r="H123" s="521"/>
      <c r="I123" s="524">
        <v>0</v>
      </c>
      <c r="J123" s="521"/>
      <c r="K123" s="524">
        <v>0</v>
      </c>
      <c r="L123" s="521"/>
      <c r="M123" s="524">
        <v>0</v>
      </c>
      <c r="N123" s="521"/>
      <c r="O123" s="524">
        <v>0</v>
      </c>
      <c r="P123" s="521"/>
      <c r="Q123" s="524">
        <v>0</v>
      </c>
      <c r="R123" s="521"/>
      <c r="S123" s="524">
        <v>0</v>
      </c>
      <c r="T123" s="521"/>
      <c r="U123" s="524">
        <v>0</v>
      </c>
      <c r="V123" s="521"/>
      <c r="W123" s="524">
        <v>0</v>
      </c>
      <c r="X123" s="521"/>
      <c r="Y123" s="524">
        <v>0</v>
      </c>
      <c r="Z123" s="168"/>
      <c r="AA123" s="275">
        <f t="shared" si="83"/>
        <v>0</v>
      </c>
      <c r="AB123" s="203"/>
      <c r="AC123" s="194">
        <f t="shared" si="74"/>
        <v>0</v>
      </c>
      <c r="AD123" s="203"/>
      <c r="AE123" s="159"/>
      <c r="AF123" s="227"/>
      <c r="AG123" s="75"/>
      <c r="AH123" s="194">
        <v>0</v>
      </c>
      <c r="AI123" s="244"/>
      <c r="AJ123" s="282">
        <f t="shared" si="84"/>
        <v>0</v>
      </c>
      <c r="AK123" s="53">
        <f t="shared" si="36"/>
        <v>0</v>
      </c>
      <c r="AL123" s="53">
        <f t="shared" si="71"/>
        <v>0</v>
      </c>
      <c r="AM123" s="53">
        <f t="shared" si="75"/>
        <v>0</v>
      </c>
      <c r="AN123" s="53" t="e">
        <f>#REF!-AM123</f>
        <v>#REF!</v>
      </c>
      <c r="AO123" s="53"/>
      <c r="AS123" s="53">
        <f t="shared" si="72"/>
        <v>0</v>
      </c>
    </row>
    <row r="124" spans="1:45">
      <c r="A124" s="2">
        <v>6411</v>
      </c>
      <c r="B124" s="108" t="s">
        <v>107</v>
      </c>
      <c r="C124" s="524"/>
      <c r="D124" s="521"/>
      <c r="E124" s="524"/>
      <c r="F124" s="521"/>
      <c r="G124" s="524"/>
      <c r="H124" s="521"/>
      <c r="I124" s="524"/>
      <c r="J124" s="521"/>
      <c r="K124" s="524"/>
      <c r="L124" s="521"/>
      <c r="M124" s="524"/>
      <c r="N124" s="521"/>
      <c r="O124" s="524"/>
      <c r="P124" s="521"/>
      <c r="Q124" s="524"/>
      <c r="R124" s="521"/>
      <c r="S124" s="524"/>
      <c r="T124" s="521"/>
      <c r="U124" s="524"/>
      <c r="V124" s="521"/>
      <c r="W124" s="524"/>
      <c r="X124" s="521"/>
      <c r="Y124" s="524"/>
      <c r="Z124" s="168"/>
      <c r="AA124" s="275">
        <f t="shared" si="83"/>
        <v>0</v>
      </c>
      <c r="AB124" s="203"/>
      <c r="AC124" s="194">
        <f t="shared" si="74"/>
        <v>0</v>
      </c>
      <c r="AD124" s="203"/>
      <c r="AE124" s="159"/>
      <c r="AF124" s="227"/>
      <c r="AG124" s="75"/>
      <c r="AH124" s="194">
        <v>0</v>
      </c>
      <c r="AI124" s="244"/>
      <c r="AJ124" s="282">
        <f t="shared" si="84"/>
        <v>0</v>
      </c>
      <c r="AK124" s="53">
        <f t="shared" si="36"/>
        <v>0</v>
      </c>
      <c r="AL124" s="53">
        <f t="shared" si="71"/>
        <v>0</v>
      </c>
      <c r="AM124" s="53">
        <f t="shared" si="75"/>
        <v>0</v>
      </c>
      <c r="AN124" s="53" t="e">
        <f>#REF!-AM124</f>
        <v>#REF!</v>
      </c>
      <c r="AO124" s="53"/>
      <c r="AS124" s="53">
        <f t="shared" si="72"/>
        <v>0</v>
      </c>
    </row>
    <row r="125" spans="1:45">
      <c r="A125" s="2">
        <v>6412</v>
      </c>
      <c r="B125" s="108" t="s">
        <v>92</v>
      </c>
      <c r="C125" s="524"/>
      <c r="D125" s="521">
        <f>C125/C12</f>
        <v>0</v>
      </c>
      <c r="E125" s="524"/>
      <c r="F125" s="521">
        <f>E125/E12</f>
        <v>0</v>
      </c>
      <c r="G125" s="524"/>
      <c r="H125" s="521">
        <f>G125/G12</f>
        <v>0</v>
      </c>
      <c r="I125" s="524"/>
      <c r="J125" s="521">
        <f>I125/I12</f>
        <v>0</v>
      </c>
      <c r="K125" s="524"/>
      <c r="L125" s="521">
        <f>K125/K12</f>
        <v>0</v>
      </c>
      <c r="M125" s="524"/>
      <c r="N125" s="521">
        <f>M125/M12</f>
        <v>0</v>
      </c>
      <c r="O125" s="524"/>
      <c r="P125" s="521">
        <f>O125/O12</f>
        <v>0</v>
      </c>
      <c r="Q125" s="524"/>
      <c r="R125" s="521">
        <f>Q125/Q12</f>
        <v>0</v>
      </c>
      <c r="S125" s="524"/>
      <c r="T125" s="521">
        <f>S125/S12</f>
        <v>0</v>
      </c>
      <c r="U125" s="524"/>
      <c r="V125" s="521">
        <f>U125/U12</f>
        <v>0</v>
      </c>
      <c r="W125" s="524"/>
      <c r="X125" s="521">
        <f>W125/W12</f>
        <v>0</v>
      </c>
      <c r="Y125" s="524"/>
      <c r="Z125" s="168">
        <f>Y125/Y12</f>
        <v>0</v>
      </c>
      <c r="AA125" s="275">
        <f t="shared" si="83"/>
        <v>0</v>
      </c>
      <c r="AB125" s="203">
        <f>AA125/AA12</f>
        <v>0</v>
      </c>
      <c r="AC125" s="194">
        <f t="shared" si="74"/>
        <v>0</v>
      </c>
      <c r="AD125" s="203">
        <f>AC125/AC12</f>
        <v>0</v>
      </c>
      <c r="AE125" s="159"/>
      <c r="AF125" s="227"/>
      <c r="AG125" s="75"/>
      <c r="AH125" s="194">
        <v>0</v>
      </c>
      <c r="AI125" s="244">
        <f>AH125/AH12</f>
        <v>0</v>
      </c>
      <c r="AJ125" s="282">
        <f t="shared" si="84"/>
        <v>0</v>
      </c>
      <c r="AK125" s="53">
        <f t="shared" si="36"/>
        <v>0</v>
      </c>
      <c r="AL125" s="53">
        <f t="shared" si="71"/>
        <v>0</v>
      </c>
      <c r="AM125" s="53">
        <f t="shared" si="75"/>
        <v>0</v>
      </c>
      <c r="AN125" s="53" t="e">
        <f>#REF!-AM125</f>
        <v>#REF!</v>
      </c>
      <c r="AO125" s="53"/>
      <c r="AS125" s="53">
        <f t="shared" si="72"/>
        <v>0</v>
      </c>
    </row>
    <row r="126" spans="1:45">
      <c r="A126" s="2">
        <v>6413</v>
      </c>
      <c r="B126" s="2" t="s">
        <v>42</v>
      </c>
      <c r="C126" s="301">
        <f>C16*1.2%</f>
        <v>1730.664</v>
      </c>
      <c r="D126" s="521">
        <f>C126/C12</f>
        <v>1.2E-2</v>
      </c>
      <c r="E126" s="301">
        <f>E16*1.2%</f>
        <v>1346.459398219032</v>
      </c>
      <c r="F126" s="521">
        <f>E126/E12</f>
        <v>1.2E-2</v>
      </c>
      <c r="G126" s="301">
        <f>G16*1.2%</f>
        <v>2233.4766819914644</v>
      </c>
      <c r="H126" s="521">
        <f>G126/G12</f>
        <v>1.2000000000000002E-2</v>
      </c>
      <c r="I126" s="301">
        <f>I16*1.2%</f>
        <v>1972.14708</v>
      </c>
      <c r="J126" s="521">
        <f>I126/I12</f>
        <v>1.2E-2</v>
      </c>
      <c r="K126" s="301">
        <f>K16*1.2%</f>
        <v>1803.7294306554002</v>
      </c>
      <c r="L126" s="521">
        <f>K126/K12</f>
        <v>1.2E-2</v>
      </c>
      <c r="M126" s="301">
        <f>M16*1.2%</f>
        <v>2557.6633200000001</v>
      </c>
      <c r="N126" s="521">
        <f>M126/M12</f>
        <v>1.2E-2</v>
      </c>
      <c r="O126" s="301">
        <f>O16*1.2%</f>
        <v>1619.2835824041242</v>
      </c>
      <c r="P126" s="521">
        <f>O126/O12</f>
        <v>1.2E-2</v>
      </c>
      <c r="Q126" s="301">
        <f>Q16*1.2%</f>
        <v>2010.7276394660998</v>
      </c>
      <c r="R126" s="521">
        <f>Q126/Q12</f>
        <v>1.2E-2</v>
      </c>
      <c r="S126" s="301">
        <f>S16*1.2%</f>
        <v>2025.5653532413919</v>
      </c>
      <c r="T126" s="521">
        <f>S126/S12</f>
        <v>1.2E-2</v>
      </c>
      <c r="U126" s="301">
        <f>U16*1.2%</f>
        <v>1606.691663645892</v>
      </c>
      <c r="V126" s="521">
        <f>U126/U12</f>
        <v>1.2E-2</v>
      </c>
      <c r="W126" s="301">
        <f>W16*1.2%</f>
        <v>1634.7148234054562</v>
      </c>
      <c r="X126" s="521">
        <f>W126/W12</f>
        <v>1.2E-2</v>
      </c>
      <c r="Y126" s="301">
        <f>Y16*1.2%</f>
        <v>2469.5039876135161</v>
      </c>
      <c r="Z126" s="168">
        <f>Y126/Y12</f>
        <v>1.2E-2</v>
      </c>
      <c r="AA126" s="301">
        <f>AA16*1.2%</f>
        <v>23010.626960642378</v>
      </c>
      <c r="AB126" s="203">
        <f>AA126/AA12</f>
        <v>1.2E-2</v>
      </c>
      <c r="AC126" s="194">
        <f t="shared" si="74"/>
        <v>1917.5522467201981</v>
      </c>
      <c r="AD126" s="203">
        <f>AC126/AC12</f>
        <v>1.2E-2</v>
      </c>
      <c r="AE126" s="159"/>
      <c r="AF126" s="238"/>
      <c r="AG126" s="160"/>
      <c r="AH126" s="194">
        <v>12000</v>
      </c>
      <c r="AI126" s="244">
        <f>AH126/AH12</f>
        <v>1.490257164364747E-2</v>
      </c>
      <c r="AJ126" s="282">
        <f t="shared" si="84"/>
        <v>36928.179207362577</v>
      </c>
      <c r="AK126" s="53">
        <f t="shared" si="36"/>
        <v>0</v>
      </c>
      <c r="AL126" s="53">
        <f t="shared" si="71"/>
        <v>23010.626960642374</v>
      </c>
      <c r="AM126" s="53">
        <f t="shared" si="75"/>
        <v>187374.93348677942</v>
      </c>
      <c r="AN126" s="53" t="e">
        <f>#REF!-AM126</f>
        <v>#REF!</v>
      </c>
      <c r="AO126" s="410">
        <v>1.0999999999999999E-2</v>
      </c>
      <c r="AS126" s="53">
        <f t="shared" si="72"/>
        <v>18900.839810981339</v>
      </c>
    </row>
    <row r="127" spans="1:45">
      <c r="A127" s="2">
        <v>6414</v>
      </c>
      <c r="B127" s="2" t="s">
        <v>44</v>
      </c>
      <c r="C127" s="509">
        <v>50</v>
      </c>
      <c r="D127" s="521">
        <f>C127/C12</f>
        <v>3.4668774528157976E-4</v>
      </c>
      <c r="E127" s="509">
        <v>50</v>
      </c>
      <c r="F127" s="521">
        <f>E127/E12</f>
        <v>4.4561313976019086E-4</v>
      </c>
      <c r="G127" s="509">
        <v>50</v>
      </c>
      <c r="H127" s="521">
        <f>G127/G12</f>
        <v>2.6863947353370805E-4</v>
      </c>
      <c r="I127" s="509">
        <v>50</v>
      </c>
      <c r="J127" s="521">
        <f>I127/I12</f>
        <v>3.0423694362592874E-4</v>
      </c>
      <c r="K127" s="509">
        <v>50</v>
      </c>
      <c r="L127" s="521">
        <f>K127/K12</f>
        <v>3.3264412599953253E-4</v>
      </c>
      <c r="M127" s="509">
        <v>50</v>
      </c>
      <c r="N127" s="521">
        <f>M127/M12</f>
        <v>2.3458912488919767E-4</v>
      </c>
      <c r="O127" s="509">
        <v>50</v>
      </c>
      <c r="P127" s="521">
        <f>O127/O12</f>
        <v>3.7053423286685199E-4</v>
      </c>
      <c r="Q127" s="509">
        <v>50</v>
      </c>
      <c r="R127" s="521">
        <f>Q127/Q12</f>
        <v>2.9839943919968967E-4</v>
      </c>
      <c r="S127" s="509">
        <v>50</v>
      </c>
      <c r="T127" s="521">
        <f>S127/S12</f>
        <v>2.9621359737411369E-4</v>
      </c>
      <c r="U127" s="509">
        <v>50</v>
      </c>
      <c r="V127" s="521">
        <f>U127/U12</f>
        <v>3.7343817334465083E-4</v>
      </c>
      <c r="W127" s="509">
        <v>50</v>
      </c>
      <c r="X127" s="521">
        <f>W127/W12</f>
        <v>3.6703649554609982E-4</v>
      </c>
      <c r="Y127" s="509">
        <v>50</v>
      </c>
      <c r="Z127" s="521">
        <f>Y127/Y12</f>
        <v>2.4296377046138286E-4</v>
      </c>
      <c r="AA127" s="275">
        <f t="shared" si="83"/>
        <v>600</v>
      </c>
      <c r="AB127" s="203">
        <f>AA127/AA12</f>
        <v>3.1289890589747762E-4</v>
      </c>
      <c r="AC127" s="194">
        <f t="shared" si="74"/>
        <v>50</v>
      </c>
      <c r="AD127" s="203">
        <f>AC127/AC12</f>
        <v>3.1289890589747762E-4</v>
      </c>
      <c r="AE127" s="159"/>
      <c r="AF127" s="227"/>
      <c r="AG127" s="75"/>
      <c r="AH127" s="194">
        <v>15</v>
      </c>
      <c r="AI127" s="244">
        <f>AH127/AH12</f>
        <v>1.8628214554559339E-5</v>
      </c>
      <c r="AJ127" s="282">
        <f t="shared" si="84"/>
        <v>665</v>
      </c>
      <c r="AK127" s="53">
        <f t="shared" si="36"/>
        <v>0</v>
      </c>
      <c r="AL127" s="53">
        <f t="shared" si="71"/>
        <v>600</v>
      </c>
      <c r="AM127" s="53">
        <f t="shared" si="75"/>
        <v>4700</v>
      </c>
      <c r="AN127" s="53" t="e">
        <f>#REF!-AM127</f>
        <v>#REF!</v>
      </c>
      <c r="AO127" s="53"/>
      <c r="AS127" s="53">
        <f t="shared" si="72"/>
        <v>470</v>
      </c>
    </row>
    <row r="128" spans="1:45">
      <c r="A128" s="2">
        <v>6415</v>
      </c>
      <c r="B128" s="108" t="s">
        <v>45</v>
      </c>
      <c r="C128" s="524">
        <v>0</v>
      </c>
      <c r="D128" s="521">
        <f>C128/C12</f>
        <v>0</v>
      </c>
      <c r="E128" s="524">
        <v>0</v>
      </c>
      <c r="F128" s="521">
        <f>E128/E12</f>
        <v>0</v>
      </c>
      <c r="G128" s="524">
        <v>0</v>
      </c>
      <c r="H128" s="521">
        <f>G128/G12</f>
        <v>0</v>
      </c>
      <c r="I128" s="524">
        <v>0</v>
      </c>
      <c r="J128" s="521">
        <f>I128/I12</f>
        <v>0</v>
      </c>
      <c r="K128" s="524">
        <v>0</v>
      </c>
      <c r="L128" s="521">
        <f>K128/K12</f>
        <v>0</v>
      </c>
      <c r="M128" s="524">
        <v>0</v>
      </c>
      <c r="N128" s="521">
        <f>M128/M12</f>
        <v>0</v>
      </c>
      <c r="O128" s="524">
        <v>0</v>
      </c>
      <c r="P128" s="521">
        <f>O128/O12</f>
        <v>0</v>
      </c>
      <c r="Q128" s="524">
        <v>0</v>
      </c>
      <c r="R128" s="521">
        <f>Q128/Q12</f>
        <v>0</v>
      </c>
      <c r="S128" s="524">
        <v>0</v>
      </c>
      <c r="T128" s="521">
        <f>S128/S12</f>
        <v>0</v>
      </c>
      <c r="U128" s="524">
        <v>0</v>
      </c>
      <c r="V128" s="521">
        <f>U128/U12</f>
        <v>0</v>
      </c>
      <c r="W128" s="524">
        <v>0</v>
      </c>
      <c r="X128" s="521">
        <f>W128/W12</f>
        <v>0</v>
      </c>
      <c r="Y128" s="524">
        <v>0</v>
      </c>
      <c r="Z128" s="168">
        <f>Y128/Y12</f>
        <v>0</v>
      </c>
      <c r="AA128" s="275">
        <f t="shared" si="83"/>
        <v>0</v>
      </c>
      <c r="AB128" s="203">
        <f>AA128/AA12</f>
        <v>0</v>
      </c>
      <c r="AC128" s="194">
        <f t="shared" si="74"/>
        <v>0</v>
      </c>
      <c r="AD128" s="203">
        <f>AC128/AC12</f>
        <v>0</v>
      </c>
      <c r="AE128" s="159"/>
      <c r="AF128" s="227"/>
      <c r="AG128" s="159"/>
      <c r="AH128" s="194">
        <v>1160</v>
      </c>
      <c r="AI128" s="244">
        <f>AH128/AH12</f>
        <v>1.4405819255525888E-3</v>
      </c>
      <c r="AJ128" s="282">
        <f t="shared" si="84"/>
        <v>1160</v>
      </c>
      <c r="AK128" s="53">
        <f t="shared" si="36"/>
        <v>0</v>
      </c>
      <c r="AL128" s="53">
        <f t="shared" si="71"/>
        <v>0</v>
      </c>
      <c r="AM128" s="53">
        <f t="shared" si="75"/>
        <v>0</v>
      </c>
      <c r="AN128" s="53" t="e">
        <f>#REF!-AM128</f>
        <v>#REF!</v>
      </c>
      <c r="AO128" s="53">
        <v>49</v>
      </c>
      <c r="AS128" s="53">
        <f t="shared" si="72"/>
        <v>0</v>
      </c>
    </row>
    <row r="129" spans="1:46" ht="15.75" thickBot="1">
      <c r="A129" s="4">
        <v>6499</v>
      </c>
      <c r="B129" s="109" t="s">
        <v>102</v>
      </c>
      <c r="C129" s="27">
        <f>SUM(C116:C128)</f>
        <v>1905.664</v>
      </c>
      <c r="D129" s="68">
        <f>C129/C12</f>
        <v>1.321340710848553E-2</v>
      </c>
      <c r="E129" s="288">
        <f>SUM(E116:E128)</f>
        <v>1521.459398219032</v>
      </c>
      <c r="F129" s="68">
        <f>E129/E12</f>
        <v>1.3559645989160667E-2</v>
      </c>
      <c r="G129" s="82">
        <f>SUM(G116:G128)</f>
        <v>2408.4766819914644</v>
      </c>
      <c r="H129" s="68">
        <f>G129/G12</f>
        <v>1.2940238157367979E-2</v>
      </c>
      <c r="I129" s="20">
        <f>SUM(I116:I128)</f>
        <v>2147.1470799999997</v>
      </c>
      <c r="J129" s="68">
        <f>I129/I12</f>
        <v>1.3064829302690749E-2</v>
      </c>
      <c r="K129" s="55">
        <f>SUM(K116:K128)</f>
        <v>1978.7294306554002</v>
      </c>
      <c r="L129" s="68">
        <f>K129/K12</f>
        <v>1.3164254440998365E-2</v>
      </c>
      <c r="M129" s="20">
        <f>SUM(M116:M128)</f>
        <v>2732.6633200000001</v>
      </c>
      <c r="N129" s="68">
        <f>M129/M12</f>
        <v>1.2821061937112192E-2</v>
      </c>
      <c r="O129" s="20">
        <f>SUM(O116:O128)</f>
        <v>1794.2835824041242</v>
      </c>
      <c r="P129" s="68">
        <f>O129/O12</f>
        <v>1.3296869815033982E-2</v>
      </c>
      <c r="Q129" s="20">
        <f>SUM(Q116:Q128)</f>
        <v>2185.7276394660998</v>
      </c>
      <c r="R129" s="68">
        <f>Q129/Q12</f>
        <v>1.3044398037198913E-2</v>
      </c>
      <c r="S129" s="20">
        <f>SUM(S116:S128)</f>
        <v>2200.5653532413917</v>
      </c>
      <c r="T129" s="68">
        <f>S129/S12</f>
        <v>1.3036747590809398E-2</v>
      </c>
      <c r="U129" s="55">
        <f>SUM(U116:U128)</f>
        <v>1781.691663645892</v>
      </c>
      <c r="V129" s="68">
        <f>U129/U12</f>
        <v>1.3307033606706278E-2</v>
      </c>
      <c r="W129" s="34">
        <f>SUM(W116:W128)</f>
        <v>1809.7148234054562</v>
      </c>
      <c r="X129" s="68">
        <f>W129/W12</f>
        <v>1.328462773441135E-2</v>
      </c>
      <c r="Y129" s="55">
        <f>SUM(Y116:Y128)</f>
        <v>2644.5039876135161</v>
      </c>
      <c r="Z129" s="212">
        <f>Y129/Y12</f>
        <v>1.2850373196614839E-2</v>
      </c>
      <c r="AA129" s="200">
        <f>SUM(AA116:AA128)</f>
        <v>25110.626960642378</v>
      </c>
      <c r="AB129" s="234">
        <f>AA129/AA12</f>
        <v>1.3095146170641172E-2</v>
      </c>
      <c r="AC129" s="199">
        <f t="shared" si="74"/>
        <v>2092.5522467201981</v>
      </c>
      <c r="AD129" s="234">
        <f>AC129/AC12</f>
        <v>1.3095146170641172E-2</v>
      </c>
      <c r="AE129" s="75"/>
      <c r="AF129" s="158"/>
      <c r="AG129" s="75"/>
      <c r="AH129" s="199">
        <f>SUM(AH116:AH128)</f>
        <v>14275.269</v>
      </c>
      <c r="AI129" s="248">
        <f>AH129/AH12</f>
        <v>1.7728184917069983E-2</v>
      </c>
      <c r="AJ129" s="286">
        <f t="shared" si="84"/>
        <v>41478.448207362577</v>
      </c>
      <c r="AK129" s="53">
        <f t="shared" si="36"/>
        <v>0</v>
      </c>
      <c r="AL129" s="53">
        <f t="shared" si="71"/>
        <v>25110.626960642374</v>
      </c>
      <c r="AM129" s="53">
        <f t="shared" si="75"/>
        <v>203824.93348677942</v>
      </c>
      <c r="AN129" s="53" t="e">
        <f>#REF!-AM129</f>
        <v>#REF!</v>
      </c>
      <c r="AO129" s="53"/>
      <c r="AS129" s="53">
        <f t="shared" si="72"/>
        <v>20545.839810981339</v>
      </c>
    </row>
    <row r="130" spans="1:46" ht="15.75" thickTop="1">
      <c r="A130" s="105"/>
      <c r="B130" s="110"/>
      <c r="C130" s="130"/>
      <c r="D130" s="70"/>
      <c r="E130" s="61"/>
      <c r="F130" s="70"/>
      <c r="G130" s="80"/>
      <c r="H130" s="70"/>
      <c r="J130" s="70"/>
      <c r="K130" s="61"/>
      <c r="L130" s="70"/>
      <c r="N130" s="70"/>
      <c r="P130" s="70"/>
      <c r="R130" s="70"/>
      <c r="T130" s="70"/>
      <c r="U130" s="61"/>
      <c r="V130" s="70"/>
      <c r="W130" s="42"/>
      <c r="X130" s="70"/>
      <c r="Y130" s="61"/>
      <c r="AA130" s="193"/>
      <c r="AB130" s="202"/>
      <c r="AC130" s="194">
        <f t="shared" si="74"/>
        <v>0</v>
      </c>
      <c r="AD130" s="202"/>
      <c r="AE130" s="75"/>
      <c r="AF130" s="158"/>
      <c r="AG130" s="75"/>
      <c r="AH130" s="194"/>
      <c r="AI130" s="243"/>
      <c r="AJ130" s="282">
        <f t="shared" si="84"/>
        <v>0</v>
      </c>
      <c r="AK130" s="53">
        <f t="shared" si="36"/>
        <v>0</v>
      </c>
      <c r="AL130" s="53">
        <f t="shared" si="71"/>
        <v>0</v>
      </c>
      <c r="AM130" s="53">
        <f t="shared" si="75"/>
        <v>0</v>
      </c>
      <c r="AN130" s="53" t="e">
        <f>#REF!-AM130</f>
        <v>#REF!</v>
      </c>
      <c r="AO130" s="53"/>
      <c r="AS130" s="53">
        <f t="shared" si="72"/>
        <v>0</v>
      </c>
    </row>
    <row r="131" spans="1:46" ht="15.75" thickBot="1">
      <c r="A131" s="4"/>
      <c r="B131" s="109" t="s">
        <v>113</v>
      </c>
      <c r="C131" s="125">
        <f>C37-C41-C76-C93-C115-C129</f>
        <v>20451.704971743751</v>
      </c>
      <c r="D131" s="122">
        <f>C131/C12</f>
        <v>0.14180710967635834</v>
      </c>
      <c r="E131" s="121">
        <f>E37-E41-E76-E93-E115-E129</f>
        <v>9968.525192555584</v>
      </c>
      <c r="F131" s="122">
        <f>E131/E12</f>
        <v>8.88421161966651E-2</v>
      </c>
      <c r="G131" s="121">
        <f>G37-G41-G76-G93-G115-G129</f>
        <v>44258.65044021533</v>
      </c>
      <c r="H131" s="122">
        <f>G131/G12</f>
        <v>0.23779241107143725</v>
      </c>
      <c r="I131" s="125">
        <f>I37-I41-I76-I93-I115-I129</f>
        <v>26449.283334539694</v>
      </c>
      <c r="J131" s="122">
        <f>I131/I12</f>
        <v>0.16093698245593141</v>
      </c>
      <c r="K131" s="121">
        <f>K37-K41-K76-K93-K115-K129</f>
        <v>33678.077816544224</v>
      </c>
      <c r="L131" s="122">
        <f>K131/K12</f>
        <v>0.22405629521257198</v>
      </c>
      <c r="M131" s="125">
        <f>M37-M41-M76-M93-M115-M129</f>
        <v>56233.641308086968</v>
      </c>
      <c r="N131" s="122">
        <f>M131/M12</f>
        <v>0.2638360140759432</v>
      </c>
      <c r="O131" s="125">
        <f>O37-O41-O76-O93-O115-O129</f>
        <v>25960.877647900641</v>
      </c>
      <c r="P131" s="122">
        <f>O131/O12</f>
        <v>0.19238787767630136</v>
      </c>
      <c r="Q131" s="125">
        <f>Q37-Q41-Q76-Q93-Q115-Q129</f>
        <v>36952.726224921098</v>
      </c>
      <c r="R131" s="122">
        <f>Q131/Q12</f>
        <v>0.22053345564832241</v>
      </c>
      <c r="S131" s="125">
        <f>S37-S41-S76-S93-S115-S129</f>
        <v>33969.452650250176</v>
      </c>
      <c r="T131" s="122">
        <f>S131/S12</f>
        <v>0.20124427540720449</v>
      </c>
      <c r="U131" s="121">
        <f>U37-U41-U76-U93-U115-U129</f>
        <v>17664.387700621268</v>
      </c>
      <c r="V131" s="122">
        <f>U131/U12</f>
        <v>0.13193113352343447</v>
      </c>
      <c r="W131" s="121">
        <f>W37-W41-W76-W93-W115-W129</f>
        <v>24276.443141518419</v>
      </c>
      <c r="X131" s="122">
        <f>W131/W12</f>
        <v>0.17820681229974142</v>
      </c>
      <c r="Y131" s="121">
        <f>Y37-Y41-Y76-Y93-Y115-Y129</f>
        <v>48045.717799875041</v>
      </c>
      <c r="Z131" s="122">
        <f>Y131/Y12</f>
        <v>0.23346737502362433</v>
      </c>
      <c r="AA131" s="278">
        <f>AA37-AA41-AA76-AA93-AA115-AA129</f>
        <v>377909.48822877218</v>
      </c>
      <c r="AB131" s="239">
        <f>AA131/AA12</f>
        <v>0.19707910899176417</v>
      </c>
      <c r="AC131" s="240">
        <f t="shared" si="74"/>
        <v>31492.457352397683</v>
      </c>
      <c r="AD131" s="239">
        <f>AC131/AC12</f>
        <v>0.19707910899176417</v>
      </c>
      <c r="AE131" s="75"/>
      <c r="AF131" s="158"/>
      <c r="AG131" s="75"/>
      <c r="AH131" s="240">
        <f>AH37-AH76-AH93-AH115-AH129</f>
        <v>59345.918428020639</v>
      </c>
      <c r="AI131" s="250">
        <f>AH131/AH12</f>
        <v>7.3700566760969685E-2</v>
      </c>
      <c r="AJ131" s="286">
        <f t="shared" si="84"/>
        <v>468747.86400919047</v>
      </c>
      <c r="AK131" s="53">
        <f t="shared" si="36"/>
        <v>0</v>
      </c>
      <c r="AL131" s="53">
        <f t="shared" si="71"/>
        <v>377909.48822877218</v>
      </c>
      <c r="AM131" s="53">
        <f t="shared" si="75"/>
        <v>3266399.0258060447</v>
      </c>
      <c r="AN131" s="53" t="e">
        <f>#REF!-AM131</f>
        <v>#REF!</v>
      </c>
      <c r="AO131" s="53"/>
      <c r="AS131" s="53">
        <f t="shared" si="72"/>
        <v>347355.62651425833</v>
      </c>
    </row>
    <row r="132" spans="1:46" ht="15.75" thickTop="1">
      <c r="A132" s="105"/>
      <c r="B132" s="110"/>
      <c r="C132" s="130"/>
      <c r="D132" s="70"/>
      <c r="E132" s="61"/>
      <c r="F132" s="70"/>
      <c r="G132" s="80"/>
      <c r="H132" s="70"/>
      <c r="J132" s="70"/>
      <c r="K132" s="61"/>
      <c r="L132" s="70"/>
      <c r="N132" s="70"/>
      <c r="P132" s="70"/>
      <c r="R132" s="70"/>
      <c r="T132" s="70"/>
      <c r="U132" s="61"/>
      <c r="V132" s="70"/>
      <c r="W132" s="42"/>
      <c r="X132" s="70"/>
      <c r="Y132" s="61"/>
      <c r="AA132" s="193"/>
      <c r="AB132" s="202"/>
      <c r="AC132" s="194">
        <f t="shared" si="74"/>
        <v>0</v>
      </c>
      <c r="AD132" s="202"/>
      <c r="AE132" s="75"/>
      <c r="AF132" s="158"/>
      <c r="AG132" s="75"/>
      <c r="AH132" s="194"/>
      <c r="AI132" s="243"/>
      <c r="AJ132" s="282">
        <f t="shared" si="84"/>
        <v>0</v>
      </c>
      <c r="AK132" s="53">
        <f t="shared" si="36"/>
        <v>0</v>
      </c>
      <c r="AL132" s="53">
        <f t="shared" si="71"/>
        <v>0</v>
      </c>
      <c r="AM132" s="53">
        <f t="shared" si="75"/>
        <v>0</v>
      </c>
      <c r="AN132" s="53" t="e">
        <f>#REF!-AM132</f>
        <v>#REF!</v>
      </c>
      <c r="AO132" s="53"/>
      <c r="AS132" s="53">
        <f t="shared" si="72"/>
        <v>0</v>
      </c>
    </row>
    <row r="133" spans="1:46" ht="15.75" thickBot="1">
      <c r="A133" s="4"/>
      <c r="B133" s="263" t="s">
        <v>123</v>
      </c>
      <c r="C133" s="126"/>
      <c r="D133" s="264"/>
      <c r="E133" s="126"/>
      <c r="F133" s="264"/>
      <c r="G133" s="126"/>
      <c r="H133" s="264"/>
      <c r="I133" s="126"/>
      <c r="J133" s="264"/>
      <c r="K133" s="126"/>
      <c r="L133" s="264"/>
      <c r="M133" s="126"/>
      <c r="N133" s="264"/>
      <c r="O133" s="126"/>
      <c r="P133" s="264"/>
      <c r="Q133" s="126"/>
      <c r="R133" s="264"/>
      <c r="S133" s="126"/>
      <c r="T133" s="264"/>
      <c r="U133" s="126"/>
      <c r="V133" s="264"/>
      <c r="W133" s="126"/>
      <c r="X133" s="264"/>
      <c r="Y133" s="126"/>
      <c r="Z133" s="265"/>
      <c r="AA133" s="276">
        <f>C133+E133+G133+I133+K133+M133+O133+Q133+S133+U133+W133+Y133</f>
        <v>0</v>
      </c>
      <c r="AB133" s="266"/>
      <c r="AC133" s="267">
        <f t="shared" si="74"/>
        <v>0</v>
      </c>
      <c r="AD133" s="266"/>
      <c r="AE133" s="262"/>
      <c r="AF133" s="261"/>
      <c r="AG133" s="262"/>
      <c r="AH133" s="267"/>
      <c r="AI133" s="268"/>
      <c r="AJ133" s="282">
        <f t="shared" si="84"/>
        <v>0</v>
      </c>
      <c r="AK133" s="53">
        <f t="shared" si="36"/>
        <v>0</v>
      </c>
      <c r="AL133" s="53">
        <f t="shared" si="71"/>
        <v>0</v>
      </c>
      <c r="AM133" s="53">
        <f t="shared" si="75"/>
        <v>0</v>
      </c>
      <c r="AN133" s="53" t="e">
        <f>#REF!-AM133</f>
        <v>#REF!</v>
      </c>
      <c r="AO133" s="53"/>
      <c r="AS133" s="53">
        <f t="shared" si="72"/>
        <v>0</v>
      </c>
    </row>
    <row r="134" spans="1:46" ht="15.75" thickTop="1">
      <c r="A134" s="105"/>
      <c r="B134" s="105"/>
      <c r="C134" s="130"/>
      <c r="D134" s="70"/>
      <c r="E134" s="61"/>
      <c r="F134" s="70"/>
      <c r="G134" s="80"/>
      <c r="H134" s="70"/>
      <c r="J134" s="70"/>
      <c r="K134" s="61"/>
      <c r="L134" s="70"/>
      <c r="N134" s="70"/>
      <c r="P134" s="70"/>
      <c r="R134" s="70"/>
      <c r="T134" s="70"/>
      <c r="U134" s="61"/>
      <c r="V134" s="70"/>
      <c r="W134" s="42"/>
      <c r="X134" s="70"/>
      <c r="Y134" s="61"/>
      <c r="AA134" s="193"/>
      <c r="AB134" s="202"/>
      <c r="AC134" s="194">
        <f t="shared" si="74"/>
        <v>0</v>
      </c>
      <c r="AD134" s="202"/>
      <c r="AE134" s="75"/>
      <c r="AF134" s="158"/>
      <c r="AG134" s="75"/>
      <c r="AH134" s="194"/>
      <c r="AI134" s="243"/>
      <c r="AJ134" s="282">
        <f t="shared" si="84"/>
        <v>0</v>
      </c>
      <c r="AK134" s="53">
        <f t="shared" si="36"/>
        <v>0</v>
      </c>
      <c r="AL134" s="53">
        <f t="shared" si="71"/>
        <v>0</v>
      </c>
      <c r="AM134" s="53">
        <f t="shared" si="75"/>
        <v>0</v>
      </c>
      <c r="AN134" s="53" t="e">
        <f>#REF!-AM134</f>
        <v>#REF!</v>
      </c>
      <c r="AO134" s="53"/>
      <c r="AS134" s="53">
        <f t="shared" si="72"/>
        <v>0</v>
      </c>
    </row>
    <row r="135" spans="1:46" ht="15.75" thickBot="1">
      <c r="A135" s="4"/>
      <c r="B135" s="4" t="s">
        <v>120</v>
      </c>
      <c r="C135" s="27">
        <f>C131-C133</f>
        <v>20451.704971743751</v>
      </c>
      <c r="D135" s="68">
        <f>C135/C12</f>
        <v>0.14180710967635834</v>
      </c>
      <c r="E135" s="34">
        <f>E131-E133</f>
        <v>9968.525192555584</v>
      </c>
      <c r="F135" s="68">
        <f>E135/E12</f>
        <v>8.88421161966651E-2</v>
      </c>
      <c r="G135" s="34">
        <f>G131-G133</f>
        <v>44258.65044021533</v>
      </c>
      <c r="H135" s="68">
        <f>G135/G12</f>
        <v>0.23779241107143725</v>
      </c>
      <c r="I135" s="20">
        <f>I131-I133</f>
        <v>26449.283334539694</v>
      </c>
      <c r="J135" s="68">
        <f>I135/I12</f>
        <v>0.16093698245593141</v>
      </c>
      <c r="K135" s="34">
        <f>K131-K133</f>
        <v>33678.077816544224</v>
      </c>
      <c r="L135" s="68">
        <f>K135/K12</f>
        <v>0.22405629521257198</v>
      </c>
      <c r="M135" s="20">
        <f>M131-M133</f>
        <v>56233.641308086968</v>
      </c>
      <c r="N135" s="68">
        <f>M135/M12</f>
        <v>0.2638360140759432</v>
      </c>
      <c r="O135" s="20">
        <f>O131-O133</f>
        <v>25960.877647900641</v>
      </c>
      <c r="P135" s="68">
        <f>O135/O12</f>
        <v>0.19238787767630136</v>
      </c>
      <c r="Q135" s="20">
        <f>Q131-Q133</f>
        <v>36952.726224921098</v>
      </c>
      <c r="R135" s="68">
        <f>Q135/Q12</f>
        <v>0.22053345564832241</v>
      </c>
      <c r="S135" s="20">
        <f>S131-S133</f>
        <v>33969.452650250176</v>
      </c>
      <c r="T135" s="68">
        <f>S135/S12</f>
        <v>0.20124427540720449</v>
      </c>
      <c r="U135" s="34">
        <f>U131-U133</f>
        <v>17664.387700621268</v>
      </c>
      <c r="V135" s="68">
        <f>U135/U12</f>
        <v>0.13193113352343447</v>
      </c>
      <c r="W135" s="34">
        <f>W131-W133</f>
        <v>24276.443141518419</v>
      </c>
      <c r="X135" s="68">
        <f>W135/W12</f>
        <v>0.17820681229974142</v>
      </c>
      <c r="Y135" s="34">
        <f>Y131-Y133</f>
        <v>48045.717799875041</v>
      </c>
      <c r="Z135" s="212">
        <f>Y135/Y12</f>
        <v>0.23346737502362433</v>
      </c>
      <c r="AA135" s="200">
        <f>AA131-AA133</f>
        <v>377909.48822877218</v>
      </c>
      <c r="AB135" s="234">
        <f>AA135/AA12</f>
        <v>0.19707910899176417</v>
      </c>
      <c r="AC135" s="206">
        <f t="shared" si="74"/>
        <v>31492.457352397683</v>
      </c>
      <c r="AD135" s="234">
        <f>AC135/AC12</f>
        <v>0.19707910899176417</v>
      </c>
      <c r="AE135" s="75"/>
      <c r="AF135" s="158"/>
      <c r="AG135" s="75"/>
      <c r="AH135" s="206">
        <f>AH131</f>
        <v>59345.918428020639</v>
      </c>
      <c r="AI135" s="248">
        <f>AH135/AH12</f>
        <v>7.3700566760969685E-2</v>
      </c>
      <c r="AJ135" s="286">
        <f t="shared" si="84"/>
        <v>468747.86400919047</v>
      </c>
      <c r="AK135" s="53">
        <f t="shared" si="36"/>
        <v>0</v>
      </c>
      <c r="AL135" s="53">
        <f t="shared" si="71"/>
        <v>377909.48822877218</v>
      </c>
      <c r="AM135" s="53">
        <f t="shared" si="75"/>
        <v>3266399.0258060447</v>
      </c>
      <c r="AN135" s="53" t="e">
        <f>#REF!-AM135</f>
        <v>#REF!</v>
      </c>
      <c r="AO135" s="53"/>
      <c r="AS135" s="53">
        <f t="shared" si="72"/>
        <v>347355.62651425833</v>
      </c>
    </row>
    <row r="136" spans="1:46" ht="15.75" thickTop="1">
      <c r="A136" s="16">
        <v>6501</v>
      </c>
      <c r="B136" s="111"/>
      <c r="C136" s="130"/>
      <c r="D136" s="49">
        <f>C136/C12</f>
        <v>0</v>
      </c>
      <c r="E136" s="61"/>
      <c r="F136" s="49">
        <f>E136/E12</f>
        <v>0</v>
      </c>
      <c r="G136" s="80"/>
      <c r="H136" s="49">
        <f>G136/G12</f>
        <v>0</v>
      </c>
      <c r="J136" s="49">
        <f>I136/I12</f>
        <v>0</v>
      </c>
      <c r="K136" s="61"/>
      <c r="L136" s="49">
        <f>K136/K12</f>
        <v>0</v>
      </c>
      <c r="N136" s="49">
        <f>M136/M12</f>
        <v>0</v>
      </c>
      <c r="P136" s="49">
        <f>O136/O12</f>
        <v>0</v>
      </c>
      <c r="R136" s="49">
        <f>Q136/Q12</f>
        <v>0</v>
      </c>
      <c r="T136" s="49">
        <f>S136/S12</f>
        <v>0</v>
      </c>
      <c r="U136" s="61"/>
      <c r="V136" s="49">
        <f>U136/U12</f>
        <v>0</v>
      </c>
      <c r="W136" s="42"/>
      <c r="X136" s="49">
        <f>W136/W12</f>
        <v>0</v>
      </c>
      <c r="Y136" s="61"/>
      <c r="Z136" s="168">
        <f>Y136/Y12</f>
        <v>0</v>
      </c>
      <c r="AA136" s="275">
        <f t="shared" ref="AA136:AA143" si="85">C136+E136+G136+I136+K136+M136+O136+Q136+S136+U136+W136+Y136</f>
        <v>0</v>
      </c>
      <c r="AB136" s="203">
        <f>AA136/AA12</f>
        <v>0</v>
      </c>
      <c r="AC136" s="194">
        <f t="shared" si="74"/>
        <v>0</v>
      </c>
      <c r="AD136" s="203">
        <f>AC136/AC12</f>
        <v>0</v>
      </c>
      <c r="AE136" s="75"/>
      <c r="AF136" s="158"/>
      <c r="AG136" s="75"/>
      <c r="AH136" s="194">
        <v>0</v>
      </c>
      <c r="AI136" s="244">
        <f>AH136/AH12</f>
        <v>0</v>
      </c>
      <c r="AJ136" s="282">
        <f t="shared" si="84"/>
        <v>0</v>
      </c>
      <c r="AK136" s="53">
        <f t="shared" si="36"/>
        <v>0</v>
      </c>
      <c r="AL136" s="53">
        <f t="shared" si="71"/>
        <v>0</v>
      </c>
      <c r="AM136" s="53">
        <f t="shared" si="75"/>
        <v>0</v>
      </c>
      <c r="AN136" s="53" t="e">
        <f>#REF!-AM136</f>
        <v>#REF!</v>
      </c>
      <c r="AO136" s="53"/>
      <c r="AS136" s="53">
        <f t="shared" si="72"/>
        <v>0</v>
      </c>
    </row>
    <row r="137" spans="1:46">
      <c r="A137" s="2">
        <v>6502</v>
      </c>
      <c r="B137" s="111" t="s">
        <v>116</v>
      </c>
      <c r="C137" s="201">
        <v>8954.4529999999995</v>
      </c>
      <c r="D137" s="49">
        <f>C137/C12</f>
        <v>6.2087982415997556E-2</v>
      </c>
      <c r="E137" s="201">
        <v>8954.4529999999995</v>
      </c>
      <c r="F137" s="49">
        <f>E137/E12</f>
        <v>7.9804438323301197E-2</v>
      </c>
      <c r="G137" s="201">
        <v>8954.4529999999995</v>
      </c>
      <c r="H137" s="49">
        <f>G137/G12</f>
        <v>4.8110390794046651E-2</v>
      </c>
      <c r="I137" s="201">
        <v>8954.4529999999995</v>
      </c>
      <c r="J137" s="49">
        <f>I137/I12</f>
        <v>5.4485508251240572E-2</v>
      </c>
      <c r="K137" s="201">
        <v>8954.4529999999995</v>
      </c>
      <c r="L137" s="49">
        <f>K137/K12</f>
        <v>5.9572923839777837E-2</v>
      </c>
      <c r="M137" s="201">
        <v>8954.4529999999995</v>
      </c>
      <c r="N137" s="49">
        <f>M137/M12</f>
        <v>4.2012345862629016E-2</v>
      </c>
      <c r="O137" s="201">
        <v>8954.4529999999995</v>
      </c>
      <c r="P137" s="49">
        <f>O137/O12</f>
        <v>6.6358627461945624E-2</v>
      </c>
      <c r="Q137" s="201">
        <v>8954.4529999999995</v>
      </c>
      <c r="R137" s="49">
        <f>Q137/Q12</f>
        <v>5.3440075070799571E-2</v>
      </c>
      <c r="S137" s="201">
        <v>8954.4519999999993</v>
      </c>
      <c r="T137" s="49">
        <f>S137/S12</f>
        <v>5.3048608788676538E-2</v>
      </c>
      <c r="U137" s="201">
        <v>8954.4529999999995</v>
      </c>
      <c r="V137" s="49">
        <f>U137/U12</f>
        <v>6.687869143241057E-2</v>
      </c>
      <c r="W137" s="201">
        <v>8954.4529999999995</v>
      </c>
      <c r="X137" s="49">
        <f>W137/W12</f>
        <v>6.5732220973045194E-2</v>
      </c>
      <c r="Y137" s="201">
        <v>8954.4529999999995</v>
      </c>
      <c r="Z137" s="168">
        <f>Y137/Y12</f>
        <v>4.3512153265984822E-2</v>
      </c>
      <c r="AA137" s="275">
        <f t="shared" si="85"/>
        <v>107453.43499999998</v>
      </c>
      <c r="AB137" s="203">
        <f>AA137/AA12</f>
        <v>5.6036770410709535E-2</v>
      </c>
      <c r="AC137" s="201">
        <f t="shared" si="74"/>
        <v>8954.4529166666653</v>
      </c>
      <c r="AD137" s="203">
        <f>AC137/AC12</f>
        <v>5.6036770410709535E-2</v>
      </c>
      <c r="AE137" s="75"/>
      <c r="AF137" s="158"/>
      <c r="AG137" s="75"/>
      <c r="AH137" s="201">
        <v>58510.638297872341</v>
      </c>
      <c r="AI137" s="244">
        <f>AH137/AH12</f>
        <v>7.2663248262465507E-2</v>
      </c>
      <c r="AJ137" s="282">
        <f t="shared" si="84"/>
        <v>174918.52621453899</v>
      </c>
      <c r="AK137" s="53">
        <f t="shared" si="36"/>
        <v>0</v>
      </c>
      <c r="AL137" s="53">
        <f t="shared" si="71"/>
        <v>107453.43499999998</v>
      </c>
      <c r="AM137" s="53">
        <f t="shared" si="75"/>
        <v>841718.57260000007</v>
      </c>
      <c r="AN137" s="53" t="e">
        <f>#REF!-AM137</f>
        <v>#REF!</v>
      </c>
      <c r="AO137" s="53"/>
      <c r="AP137" s="306" t="s">
        <v>233</v>
      </c>
      <c r="AS137" s="53">
        <f t="shared" si="72"/>
        <v>84171.858200000002</v>
      </c>
    </row>
    <row r="138" spans="1:46">
      <c r="A138" s="2">
        <v>6503</v>
      </c>
      <c r="B138" s="111" t="s">
        <v>117</v>
      </c>
      <c r="C138" s="201">
        <v>1031.7049999999999</v>
      </c>
      <c r="D138" s="49">
        <f>C138/C12</f>
        <v>7.1535896049146445E-3</v>
      </c>
      <c r="E138" s="201">
        <v>1031.7059999999999</v>
      </c>
      <c r="F138" s="49">
        <f>E138/E12</f>
        <v>9.1948349993885483E-3</v>
      </c>
      <c r="G138" s="201">
        <v>1031.7049999999999</v>
      </c>
      <c r="H138" s="49">
        <f>G138/G12</f>
        <v>5.5431337608418847E-3</v>
      </c>
      <c r="I138" s="201">
        <v>1031.7059999999999</v>
      </c>
      <c r="J138" s="49">
        <f>I138/I12</f>
        <v>6.2776616032106484E-3</v>
      </c>
      <c r="K138" s="201">
        <v>1031.7049999999999</v>
      </c>
      <c r="L138" s="49">
        <f>K138/K12</f>
        <v>6.8638121602869534E-3</v>
      </c>
      <c r="M138" s="201">
        <v>1031.7059999999999</v>
      </c>
      <c r="N138" s="49">
        <f>M138/M12</f>
        <v>4.8405401536586908E-3</v>
      </c>
      <c r="O138" s="201">
        <v>1031.7049999999999</v>
      </c>
      <c r="P138" s="49">
        <f>O138/O12</f>
        <v>7.6456404143979096E-3</v>
      </c>
      <c r="Q138" s="201">
        <v>1031.7059999999999</v>
      </c>
      <c r="R138" s="49">
        <f>Q138/Q12</f>
        <v>6.1572098363791E-3</v>
      </c>
      <c r="S138" s="201">
        <v>1031.7049999999999</v>
      </c>
      <c r="T138" s="49">
        <f>S138/S12</f>
        <v>6.1121009895771985E-3</v>
      </c>
      <c r="U138" s="201">
        <v>1031.7049999999999</v>
      </c>
      <c r="V138" s="49">
        <f>U138/U12</f>
        <v>7.7055606126108589E-3</v>
      </c>
      <c r="W138" s="201">
        <v>1031.7049999999999</v>
      </c>
      <c r="X138" s="49">
        <f>W138/W12</f>
        <v>7.5734677527477777E-3</v>
      </c>
      <c r="Y138" s="201">
        <v>1031.7049999999999</v>
      </c>
      <c r="Z138" s="168">
        <f>Y138/Y12</f>
        <v>5.01333873607722E-3</v>
      </c>
      <c r="AA138" s="275">
        <f t="shared" si="85"/>
        <v>12380.464</v>
      </c>
      <c r="AB138" s="203">
        <f>AA138/AA12</f>
        <v>6.4563894001718487E-3</v>
      </c>
      <c r="AC138" s="201">
        <f t="shared" si="74"/>
        <v>1031.7053333333333</v>
      </c>
      <c r="AD138" s="203">
        <f>AC138/AC12</f>
        <v>6.4563894001718487E-3</v>
      </c>
      <c r="AE138" s="75"/>
      <c r="AF138" s="158"/>
      <c r="AG138" s="75"/>
      <c r="AH138" s="201">
        <v>5319.1489361702124</v>
      </c>
      <c r="AI138" s="244">
        <f>AH138/AH12</f>
        <v>6.605749842042318E-3</v>
      </c>
      <c r="AJ138" s="282">
        <f t="shared" si="84"/>
        <v>18731.318269503547</v>
      </c>
      <c r="AK138" s="53">
        <f t="shared" si="36"/>
        <v>0</v>
      </c>
      <c r="AL138" s="53">
        <f t="shared" si="71"/>
        <v>12380.464</v>
      </c>
      <c r="AM138" s="53">
        <f t="shared" si="75"/>
        <v>96980.298200000005</v>
      </c>
      <c r="AN138" s="53" t="e">
        <f>#REF!-AM138</f>
        <v>#REF!</v>
      </c>
      <c r="AO138" s="53"/>
      <c r="AP138" s="306" t="s">
        <v>232</v>
      </c>
      <c r="AS138" s="53">
        <f t="shared" si="72"/>
        <v>9698.036399999999</v>
      </c>
      <c r="AT138" s="306">
        <f>AS137+AS138</f>
        <v>93869.8946</v>
      </c>
    </row>
    <row r="139" spans="1:46">
      <c r="A139" s="2">
        <v>6504</v>
      </c>
      <c r="B139" s="111" t="s">
        <v>118</v>
      </c>
      <c r="C139" s="25"/>
      <c r="D139" s="49">
        <f>C139/C12</f>
        <v>0</v>
      </c>
      <c r="E139" s="25"/>
      <c r="F139" s="49">
        <f>E139/E12</f>
        <v>0</v>
      </c>
      <c r="G139" s="25"/>
      <c r="H139" s="49">
        <f>G139/G12</f>
        <v>0</v>
      </c>
      <c r="I139" s="25"/>
      <c r="J139" s="49">
        <f>I139/I12</f>
        <v>0</v>
      </c>
      <c r="K139" s="25"/>
      <c r="L139" s="49">
        <f>K139/K12</f>
        <v>0</v>
      </c>
      <c r="M139" s="25"/>
      <c r="N139" s="49">
        <f>M139/M12</f>
        <v>0</v>
      </c>
      <c r="O139" s="25"/>
      <c r="P139" s="49">
        <f>O139/O12</f>
        <v>0</v>
      </c>
      <c r="Q139" s="25"/>
      <c r="R139" s="49">
        <f>Q139/Q12</f>
        <v>0</v>
      </c>
      <c r="S139" s="25"/>
      <c r="T139" s="49">
        <f>S139/S12</f>
        <v>0</v>
      </c>
      <c r="U139" s="25"/>
      <c r="V139" s="49">
        <f>U139/U12</f>
        <v>0</v>
      </c>
      <c r="W139" s="25"/>
      <c r="X139" s="49">
        <f>W139/W12</f>
        <v>0</v>
      </c>
      <c r="Y139" s="25"/>
      <c r="Z139" s="168">
        <f>Y139/Y12</f>
        <v>0</v>
      </c>
      <c r="AA139" s="275">
        <f t="shared" si="85"/>
        <v>0</v>
      </c>
      <c r="AB139" s="203">
        <f>AA139/AA12</f>
        <v>0</v>
      </c>
      <c r="AC139" s="76">
        <f t="shared" si="74"/>
        <v>0</v>
      </c>
      <c r="AD139" s="203">
        <f>AC139/AC12</f>
        <v>0</v>
      </c>
      <c r="AE139" s="75"/>
      <c r="AF139" s="158"/>
      <c r="AG139" s="75"/>
      <c r="AH139" s="76"/>
      <c r="AI139" s="244">
        <f>AH139/AH12</f>
        <v>0</v>
      </c>
      <c r="AJ139" s="282">
        <f t="shared" si="84"/>
        <v>0</v>
      </c>
      <c r="AK139" s="53">
        <f t="shared" si="36"/>
        <v>0</v>
      </c>
      <c r="AL139" s="53">
        <f t="shared" si="71"/>
        <v>0</v>
      </c>
      <c r="AM139" s="53">
        <f t="shared" si="75"/>
        <v>0</v>
      </c>
      <c r="AN139" s="53" t="e">
        <f>#REF!-AM139</f>
        <v>#REF!</v>
      </c>
      <c r="AO139" s="53"/>
      <c r="AS139" s="53">
        <f t="shared" si="72"/>
        <v>0</v>
      </c>
    </row>
    <row r="140" spans="1:46">
      <c r="A140" s="98">
        <v>6505</v>
      </c>
      <c r="B140" s="2" t="s">
        <v>119</v>
      </c>
      <c r="C140" s="25">
        <v>0</v>
      </c>
      <c r="D140" s="49">
        <f>C140/C12</f>
        <v>0</v>
      </c>
      <c r="E140" s="25">
        <v>0</v>
      </c>
      <c r="F140" s="49">
        <f>E140/E12</f>
        <v>0</v>
      </c>
      <c r="G140" s="25">
        <v>0</v>
      </c>
      <c r="H140" s="49">
        <f>G140/G12</f>
        <v>0</v>
      </c>
      <c r="I140" s="25">
        <v>0</v>
      </c>
      <c r="J140" s="49">
        <f>I140/I12</f>
        <v>0</v>
      </c>
      <c r="K140" s="25">
        <v>0</v>
      </c>
      <c r="L140" s="49">
        <f>K140/K12</f>
        <v>0</v>
      </c>
      <c r="M140" s="25">
        <v>0</v>
      </c>
      <c r="N140" s="49">
        <f>M140/M12</f>
        <v>0</v>
      </c>
      <c r="O140" s="25">
        <v>0</v>
      </c>
      <c r="P140" s="49">
        <f>O140/O12</f>
        <v>0</v>
      </c>
      <c r="Q140" s="25">
        <v>0</v>
      </c>
      <c r="R140" s="49">
        <f>Q140/Q12</f>
        <v>0</v>
      </c>
      <c r="S140" s="25">
        <v>0</v>
      </c>
      <c r="T140" s="49">
        <f>S140/S12</f>
        <v>0</v>
      </c>
      <c r="U140" s="25">
        <v>0</v>
      </c>
      <c r="V140" s="49">
        <f>U140/U12</f>
        <v>0</v>
      </c>
      <c r="W140" s="25">
        <v>0</v>
      </c>
      <c r="X140" s="49">
        <f>W140/W12</f>
        <v>0</v>
      </c>
      <c r="Y140" s="25">
        <v>0</v>
      </c>
      <c r="Z140" s="168">
        <f>Y140/Y12</f>
        <v>0</v>
      </c>
      <c r="AA140" s="275">
        <f t="shared" si="85"/>
        <v>0</v>
      </c>
      <c r="AB140" s="203">
        <f>AA140/AA12</f>
        <v>0</v>
      </c>
      <c r="AC140" s="76">
        <f t="shared" si="74"/>
        <v>0</v>
      </c>
      <c r="AD140" s="203">
        <f>AC140/AC12</f>
        <v>0</v>
      </c>
      <c r="AE140" s="75"/>
      <c r="AF140" s="158"/>
      <c r="AG140" s="75"/>
      <c r="AH140" s="76"/>
      <c r="AI140" s="244">
        <f>AH140/AH12</f>
        <v>0</v>
      </c>
      <c r="AJ140" s="282">
        <f t="shared" si="84"/>
        <v>0</v>
      </c>
      <c r="AK140" s="53">
        <f t="shared" si="36"/>
        <v>0</v>
      </c>
      <c r="AL140" s="53">
        <f t="shared" si="71"/>
        <v>0</v>
      </c>
      <c r="AM140" s="53">
        <f t="shared" si="75"/>
        <v>0</v>
      </c>
      <c r="AN140" s="53" t="e">
        <f>#REF!-AM140</f>
        <v>#REF!</v>
      </c>
      <c r="AO140" s="53"/>
      <c r="AS140" s="53">
        <f t="shared" si="72"/>
        <v>0</v>
      </c>
    </row>
    <row r="141" spans="1:46">
      <c r="A141" s="2">
        <v>6506</v>
      </c>
      <c r="B141" s="2" t="s">
        <v>179</v>
      </c>
      <c r="C141" s="525"/>
      <c r="D141" s="49">
        <f t="shared" ref="D141:AD141" si="86">C141/C$12</f>
        <v>0</v>
      </c>
      <c r="E141" s="525"/>
      <c r="F141" s="49">
        <f t="shared" si="86"/>
        <v>0</v>
      </c>
      <c r="G141" s="525"/>
      <c r="H141" s="49">
        <f t="shared" si="86"/>
        <v>0</v>
      </c>
      <c r="I141" s="525"/>
      <c r="J141" s="49">
        <f t="shared" si="86"/>
        <v>0</v>
      </c>
      <c r="K141" s="525"/>
      <c r="L141" s="49">
        <f t="shared" si="86"/>
        <v>0</v>
      </c>
      <c r="M141" s="525"/>
      <c r="N141" s="49">
        <f t="shared" si="86"/>
        <v>0</v>
      </c>
      <c r="O141" s="525"/>
      <c r="P141" s="49">
        <f t="shared" si="86"/>
        <v>0</v>
      </c>
      <c r="Q141" s="525"/>
      <c r="R141" s="49">
        <f t="shared" si="86"/>
        <v>0</v>
      </c>
      <c r="S141" s="134"/>
      <c r="T141" s="49">
        <f t="shared" si="86"/>
        <v>0</v>
      </c>
      <c r="U141" s="525"/>
      <c r="V141" s="49">
        <f t="shared" si="86"/>
        <v>0</v>
      </c>
      <c r="W141" s="525"/>
      <c r="X141" s="49">
        <f t="shared" si="86"/>
        <v>0</v>
      </c>
      <c r="Y141" s="525"/>
      <c r="Z141" s="168">
        <f t="shared" si="86"/>
        <v>0</v>
      </c>
      <c r="AA141" s="275">
        <f t="shared" si="85"/>
        <v>0</v>
      </c>
      <c r="AB141" s="203">
        <f t="shared" si="86"/>
        <v>0</v>
      </c>
      <c r="AC141" s="194">
        <f t="shared" si="74"/>
        <v>0</v>
      </c>
      <c r="AD141" s="203">
        <f t="shared" si="86"/>
        <v>0</v>
      </c>
      <c r="AE141" s="159"/>
      <c r="AF141" s="204"/>
      <c r="AG141" s="204"/>
      <c r="AH141" s="194"/>
      <c r="AI141" s="244">
        <f>AH141/AH$12</f>
        <v>0</v>
      </c>
      <c r="AJ141" s="282">
        <f t="shared" si="84"/>
        <v>0</v>
      </c>
      <c r="AK141" s="53">
        <f t="shared" si="36"/>
        <v>0</v>
      </c>
      <c r="AL141" s="53">
        <f t="shared" si="71"/>
        <v>0</v>
      </c>
      <c r="AM141" s="305"/>
      <c r="AN141" s="305"/>
      <c r="AO141" s="305"/>
      <c r="AS141" s="53">
        <f t="shared" si="72"/>
        <v>0</v>
      </c>
    </row>
    <row r="142" spans="1:46">
      <c r="A142" s="124">
        <v>6604</v>
      </c>
      <c r="B142" s="2" t="s">
        <v>122</v>
      </c>
      <c r="C142" s="518">
        <v>8539</v>
      </c>
      <c r="D142" s="73">
        <f>C142/C12</f>
        <v>5.9207333139188197E-2</v>
      </c>
      <c r="E142" s="540">
        <v>8539</v>
      </c>
      <c r="F142" s="73">
        <f>E142/E12</f>
        <v>7.6101812008245395E-2</v>
      </c>
      <c r="G142" s="540">
        <v>8539</v>
      </c>
      <c r="H142" s="73">
        <f>G142/G12</f>
        <v>4.5878249290086659E-2</v>
      </c>
      <c r="I142" s="540">
        <v>8539</v>
      </c>
      <c r="J142" s="73">
        <f>I142/I12</f>
        <v>5.1957585232436113E-2</v>
      </c>
      <c r="K142" s="540">
        <v>8539</v>
      </c>
      <c r="L142" s="73">
        <f>K142/K12</f>
        <v>5.6808963838200166E-2</v>
      </c>
      <c r="M142" s="540">
        <v>8539</v>
      </c>
      <c r="N142" s="73">
        <f>M142/M12</f>
        <v>4.0063130748577182E-2</v>
      </c>
      <c r="O142" s="540">
        <v>8539</v>
      </c>
      <c r="P142" s="73">
        <f>O142/O12</f>
        <v>6.3279836289000982E-2</v>
      </c>
      <c r="Q142" s="540">
        <v>8539</v>
      </c>
      <c r="R142" s="73">
        <f>Q142/Q12</f>
        <v>5.0960656226523002E-2</v>
      </c>
      <c r="S142" s="540">
        <v>8539</v>
      </c>
      <c r="T142" s="73">
        <f>S142/S12</f>
        <v>5.0587358159551135E-2</v>
      </c>
      <c r="U142" s="540">
        <v>8539</v>
      </c>
      <c r="V142" s="73">
        <f>U142/U12</f>
        <v>6.3775771243799462E-2</v>
      </c>
      <c r="W142" s="540">
        <v>8539</v>
      </c>
      <c r="X142" s="73">
        <f>W142/W12</f>
        <v>6.2682492709362922E-2</v>
      </c>
      <c r="Y142" s="540">
        <v>8539</v>
      </c>
      <c r="Z142" s="217">
        <f>Y142/Y12</f>
        <v>4.1493352719394964E-2</v>
      </c>
      <c r="AA142" s="275">
        <f t="shared" si="85"/>
        <v>102468</v>
      </c>
      <c r="AB142" s="203">
        <f>AA142/AA12</f>
        <v>5.3436875149171226E-2</v>
      </c>
      <c r="AC142" s="205">
        <f t="shared" si="74"/>
        <v>8539</v>
      </c>
      <c r="AD142" s="203">
        <f>AC142/AC12</f>
        <v>5.3436875149171226E-2</v>
      </c>
      <c r="AE142" s="159"/>
      <c r="AF142" s="227"/>
      <c r="AG142" s="159"/>
      <c r="AH142" s="205"/>
      <c r="AI142" s="244">
        <f>AH142/AH12</f>
        <v>0</v>
      </c>
      <c r="AJ142" s="282">
        <f t="shared" si="84"/>
        <v>111007</v>
      </c>
      <c r="AK142" s="53">
        <f t="shared" si="36"/>
        <v>0</v>
      </c>
      <c r="AL142" s="53">
        <f t="shared" si="71"/>
        <v>102468</v>
      </c>
      <c r="AM142" s="53">
        <f t="shared" si="75"/>
        <v>802665.99999999988</v>
      </c>
      <c r="AN142" s="53" t="e">
        <f>#REF!-AM142</f>
        <v>#REF!</v>
      </c>
      <c r="AO142" s="53"/>
      <c r="AS142" s="53">
        <f>Q142*9.4</f>
        <v>80266.600000000006</v>
      </c>
    </row>
    <row r="143" spans="1:46">
      <c r="A143" s="2"/>
      <c r="B143" s="2"/>
      <c r="C143" s="130"/>
      <c r="D143" s="49">
        <f>C143/C12</f>
        <v>0</v>
      </c>
      <c r="E143" s="43"/>
      <c r="F143" s="49">
        <f>E143/E12</f>
        <v>0</v>
      </c>
      <c r="G143" s="80"/>
      <c r="H143" s="49">
        <f>G143/G12</f>
        <v>0</v>
      </c>
      <c r="I143" s="18"/>
      <c r="J143" s="49">
        <f>I143/I12</f>
        <v>0</v>
      </c>
      <c r="K143" s="43"/>
      <c r="L143" s="49">
        <f>K143/K12</f>
        <v>0</v>
      </c>
      <c r="M143" s="18"/>
      <c r="N143" s="49">
        <f>M143/M12</f>
        <v>0</v>
      </c>
      <c r="O143" s="18"/>
      <c r="P143" s="49">
        <f>O143/O12</f>
        <v>0</v>
      </c>
      <c r="Q143" s="18"/>
      <c r="R143" s="49">
        <f>Q143/Q12</f>
        <v>0</v>
      </c>
      <c r="S143" s="18"/>
      <c r="T143" s="49">
        <f>S143/S12</f>
        <v>0</v>
      </c>
      <c r="U143" s="43"/>
      <c r="V143" s="49">
        <f>U143/U12</f>
        <v>0</v>
      </c>
      <c r="W143" s="33"/>
      <c r="X143" s="49">
        <f>W143/W12</f>
        <v>0</v>
      </c>
      <c r="Y143" s="43"/>
      <c r="Z143" s="168">
        <f>Y143/Y12</f>
        <v>0</v>
      </c>
      <c r="AA143" s="275">
        <f t="shared" si="85"/>
        <v>0</v>
      </c>
      <c r="AB143" s="203">
        <f>AA143/AA12</f>
        <v>0</v>
      </c>
      <c r="AC143" s="205">
        <f t="shared" si="74"/>
        <v>0</v>
      </c>
      <c r="AD143" s="203">
        <f>AC143/AC12</f>
        <v>0</v>
      </c>
      <c r="AE143" s="159"/>
      <c r="AF143" s="227"/>
      <c r="AG143" s="159"/>
      <c r="AH143" s="205">
        <f>AF143/12</f>
        <v>0</v>
      </c>
      <c r="AI143" s="244">
        <f>AH143/AH12</f>
        <v>0</v>
      </c>
      <c r="AJ143" s="282">
        <f t="shared" si="84"/>
        <v>0</v>
      </c>
      <c r="AK143" s="53">
        <f t="shared" si="36"/>
        <v>0</v>
      </c>
      <c r="AL143" s="53">
        <f t="shared" si="71"/>
        <v>0</v>
      </c>
      <c r="AM143" s="53">
        <f t="shared" si="75"/>
        <v>0</v>
      </c>
      <c r="AN143" s="53" t="e">
        <f>#REF!-AM143</f>
        <v>#REF!</v>
      </c>
      <c r="AO143" s="53"/>
      <c r="AS143" s="53">
        <f t="shared" si="72"/>
        <v>0</v>
      </c>
    </row>
    <row r="144" spans="1:46" ht="15" customHeight="1">
      <c r="A144" s="45">
        <v>6798</v>
      </c>
      <c r="B144" s="45" t="s">
        <v>169</v>
      </c>
      <c r="C144" s="58">
        <f>SUM(C136:C143)</f>
        <v>18525.157999999999</v>
      </c>
      <c r="D144" s="66">
        <f>C144/C12</f>
        <v>0.12844890516010041</v>
      </c>
      <c r="E144" s="58">
        <f>SUM(E136:E143)</f>
        <v>18525.159</v>
      </c>
      <c r="F144" s="66">
        <f>E144/E12</f>
        <v>0.16510108533093515</v>
      </c>
      <c r="G144" s="58">
        <f>SUM(G136:G143)</f>
        <v>18525.157999999999</v>
      </c>
      <c r="H144" s="66">
        <f>G144/G12</f>
        <v>9.9531773844975191E-2</v>
      </c>
      <c r="I144" s="58">
        <f>SUM(I136:I143)</f>
        <v>18525.159</v>
      </c>
      <c r="J144" s="66">
        <f>I144/I12</f>
        <v>0.11272075508688734</v>
      </c>
      <c r="K144" s="58">
        <f>SUM(K136:K143)</f>
        <v>18525.157999999999</v>
      </c>
      <c r="L144" s="66">
        <f>K144/K12</f>
        <v>0.12324569983826496</v>
      </c>
      <c r="M144" s="58">
        <f>SUM(M136:M143)</f>
        <v>18525.159</v>
      </c>
      <c r="N144" s="66">
        <f>M144/M12</f>
        <v>8.6916016764864878E-2</v>
      </c>
      <c r="O144" s="58">
        <f>SUM(O136:O143)</f>
        <v>18525.157999999999</v>
      </c>
      <c r="P144" s="66">
        <f>O144/O12</f>
        <v>0.13728410416534451</v>
      </c>
      <c r="Q144" s="58">
        <f>SUM(Q136:Q143)</f>
        <v>18525.159</v>
      </c>
      <c r="R144" s="66">
        <f>Q144/Q12</f>
        <v>0.11055794113370167</v>
      </c>
      <c r="S144" s="58">
        <f>SUM(S136:S143)</f>
        <v>18525.156999999999</v>
      </c>
      <c r="T144" s="66">
        <f>S144/S$12</f>
        <v>0.10974806793780487</v>
      </c>
      <c r="U144" s="58">
        <f>SUM(U136:U143)</f>
        <v>18525.157999999999</v>
      </c>
      <c r="V144" s="66">
        <f>U144/U12</f>
        <v>0.13836002328882088</v>
      </c>
      <c r="W144" s="58">
        <f>SUM(W136:W143)</f>
        <v>18525.157999999999</v>
      </c>
      <c r="X144" s="66">
        <f>W144/W12</f>
        <v>0.1359881814351559</v>
      </c>
      <c r="Y144" s="58">
        <f>SUM(Y136:Y143)</f>
        <v>18525.157999999999</v>
      </c>
      <c r="Z144" s="213">
        <f>Y144/Y$12</f>
        <v>9.0018844721457006E-2</v>
      </c>
      <c r="AA144" s="276">
        <f>SUM(AA136:AA143)</f>
        <v>222301.89899999998</v>
      </c>
      <c r="AB144" s="230">
        <f>AA144/AA$12</f>
        <v>0.11593003496005261</v>
      </c>
      <c r="AC144" s="229">
        <f t="shared" si="74"/>
        <v>18525.158249999997</v>
      </c>
      <c r="AD144" s="230">
        <f>AC144/AC$12</f>
        <v>0.11593003496005259</v>
      </c>
      <c r="AE144" s="230"/>
      <c r="AF144" s="261"/>
      <c r="AG144" s="262"/>
      <c r="AH144" s="229">
        <f>SUM(AH136:AH143)</f>
        <v>63829.787234042553</v>
      </c>
      <c r="AI144" s="246">
        <f>AH144/AH$12</f>
        <v>7.9268998104507826E-2</v>
      </c>
      <c r="AJ144" s="286">
        <f t="shared" si="84"/>
        <v>304656.84448404255</v>
      </c>
      <c r="AK144" s="53">
        <f t="shared" si="36"/>
        <v>0</v>
      </c>
      <c r="AL144" s="53">
        <f t="shared" si="71"/>
        <v>222301.89899999998</v>
      </c>
      <c r="AM144" s="53">
        <f t="shared" si="75"/>
        <v>1741364.8707999999</v>
      </c>
      <c r="AN144" s="53" t="e">
        <f>#REF!-AM144</f>
        <v>#REF!</v>
      </c>
      <c r="AO144" s="53"/>
      <c r="AS144" s="53">
        <f t="shared" si="72"/>
        <v>174136.49460000001</v>
      </c>
    </row>
    <row r="145" spans="1:46">
      <c r="A145" s="45">
        <v>6799</v>
      </c>
      <c r="B145" s="45" t="s">
        <v>114</v>
      </c>
      <c r="C145" s="29">
        <f>C41+C76+C93+C115+C129+C144+C133</f>
        <v>67851.901028256252</v>
      </c>
      <c r="D145" s="66">
        <f>C145/C12</f>
        <v>0.47046845161110129</v>
      </c>
      <c r="E145" s="85">
        <f>E41+E76+E93+E115+E129+E144+E133</f>
        <v>68381.754058280392</v>
      </c>
      <c r="F145" s="66">
        <f>E145/E12</f>
        <v>0.60943616256438993</v>
      </c>
      <c r="G145" s="85">
        <f>G41+G76+G93+G115+G129+G144+G133</f>
        <v>67619.445172711115</v>
      </c>
      <c r="H145" s="66">
        <f>G145/G12</f>
        <v>0.36330504303677102</v>
      </c>
      <c r="I145" s="29">
        <f>I41+I76+I93+I115+I129+I144+I133</f>
        <v>78151.530266460322</v>
      </c>
      <c r="J145" s="66">
        <f>I145/I12</f>
        <v>0.47553165415914306</v>
      </c>
      <c r="K145" s="85">
        <f>K41+K76+K93+K115+K129+K144+K133</f>
        <v>69236.617538128514</v>
      </c>
      <c r="L145" s="66">
        <f>K145/K12</f>
        <v>0.4606230825626933</v>
      </c>
      <c r="M145" s="29">
        <f>M41+M76+M93+M115+M129+M144+M133</f>
        <v>64338.598020913043</v>
      </c>
      <c r="N145" s="66">
        <f>M145/M12</f>
        <v>0.30186270812647714</v>
      </c>
      <c r="O145" s="29">
        <f>O41+O76+O93+O115+O129+O144+O133</f>
        <v>68119.341560811852</v>
      </c>
      <c r="P145" s="66">
        <f>O145/O12</f>
        <v>0.50481095937260978</v>
      </c>
      <c r="Q145" s="29">
        <f>Q41+Q76+Q93+Q115+Q129+Q144+Q133</f>
        <v>70756.715712724865</v>
      </c>
      <c r="R145" s="66">
        <f>Q145/Q12</f>
        <v>0.42227528576577938</v>
      </c>
      <c r="S145" s="29">
        <f>S41+S76+S93+S115+S129+S144+S133</f>
        <v>69520.05062950321</v>
      </c>
      <c r="T145" s="66">
        <f>S145/S12</f>
        <v>0.41185568573191322</v>
      </c>
      <c r="U145" s="85">
        <f>U41+U76+U93+U115+U129+U144+U133</f>
        <v>68838.9949631911</v>
      </c>
      <c r="V145" s="66">
        <f>U145/U12</f>
        <v>0.51414217067871404</v>
      </c>
      <c r="W145" s="85">
        <f>W41+W76+W93+W115+W129+W144+W133</f>
        <v>67813.127158783856</v>
      </c>
      <c r="X145" s="66">
        <f>W145/W12</f>
        <v>0.49779785088764145</v>
      </c>
      <c r="Y145" s="85">
        <f>Y41+Y76+Y93+Y115+Y129+Y144+Y133</f>
        <v>68987.649305904255</v>
      </c>
      <c r="Z145" s="213">
        <f>Y145/Y12</f>
        <v>0.33522998781260199</v>
      </c>
      <c r="AA145" s="200">
        <f>AA41+AA76+AA93+AA115+AA129+AA144+AA133</f>
        <v>829615.7254156688</v>
      </c>
      <c r="AB145" s="234">
        <f>AA145/AA12</f>
        <v>0.43264308799650825</v>
      </c>
      <c r="AC145" s="200">
        <f t="shared" si="74"/>
        <v>69134.643784639062</v>
      </c>
      <c r="AD145" s="234">
        <f>AC145/AC12</f>
        <v>0.43264308799650825</v>
      </c>
      <c r="AE145" s="75"/>
      <c r="AF145" s="158"/>
      <c r="AG145" s="75"/>
      <c r="AH145" s="200">
        <f>AH41+AH76+AH93+AH115+AH129+AH144+AH133</f>
        <v>399979.26616717328</v>
      </c>
      <c r="AI145" s="248">
        <f>AH145/AH12</f>
        <v>0.49672663916915338</v>
      </c>
      <c r="AJ145" s="286">
        <f t="shared" si="84"/>
        <v>1298729.635367481</v>
      </c>
      <c r="AK145" s="53">
        <f t="shared" si="36"/>
        <v>0</v>
      </c>
      <c r="AL145" s="53">
        <f t="shared" si="71"/>
        <v>829615.7254156688</v>
      </c>
      <c r="AM145" s="53">
        <f t="shared" si="75"/>
        <v>6517791.4610938411</v>
      </c>
      <c r="AN145" s="53" t="e">
        <f>#REF!-AM145</f>
        <v>#REF!</v>
      </c>
      <c r="AO145" s="53"/>
      <c r="AS145" s="53">
        <f t="shared" si="72"/>
        <v>665113.1276996138</v>
      </c>
      <c r="AT145" s="306">
        <f>AS145-AS142</f>
        <v>584846.52769961383</v>
      </c>
    </row>
    <row r="146" spans="1:46" ht="15.75" thickBot="1">
      <c r="A146" s="10">
        <v>6999</v>
      </c>
      <c r="B146" s="10" t="s">
        <v>121</v>
      </c>
      <c r="C146" s="28">
        <f>C135-C144</f>
        <v>1926.5469717437518</v>
      </c>
      <c r="D146" s="67">
        <f>C146/C12</f>
        <v>1.3358204516257934E-2</v>
      </c>
      <c r="E146" s="41">
        <f>E135-E144</f>
        <v>-8556.6338074444157</v>
      </c>
      <c r="F146" s="154">
        <f>E146/E12</f>
        <v>-7.6258969134270049E-2</v>
      </c>
      <c r="G146" s="41">
        <f>G135-G144</f>
        <v>25733.49244021533</v>
      </c>
      <c r="H146" s="67">
        <f>G146/G12</f>
        <v>0.13826063722646204</v>
      </c>
      <c r="I146" s="22">
        <f>I135-I144</f>
        <v>7924.1243345396942</v>
      </c>
      <c r="J146" s="67">
        <f>I146/I12</f>
        <v>4.8216227369044067E-2</v>
      </c>
      <c r="K146" s="59">
        <f>K135-K144</f>
        <v>15152.919816544225</v>
      </c>
      <c r="L146" s="67">
        <f>K146/K12</f>
        <v>0.100810595374307</v>
      </c>
      <c r="M146" s="22">
        <f>M135-M144</f>
        <v>37708.482308086968</v>
      </c>
      <c r="N146" s="67">
        <f>M146/M12</f>
        <v>0.1769199973110783</v>
      </c>
      <c r="O146" s="22">
        <f>O135-O144</f>
        <v>7435.7196479006416</v>
      </c>
      <c r="P146" s="67">
        <f>O146/O12</f>
        <v>5.5103773510956855E-2</v>
      </c>
      <c r="Q146" s="46">
        <f>Q135-Q144</f>
        <v>18427.567224921098</v>
      </c>
      <c r="R146" s="67">
        <f>Q146/Q12</f>
        <v>0.10997551451462075</v>
      </c>
      <c r="S146" s="22">
        <f>S135-S144</f>
        <v>15444.295650250177</v>
      </c>
      <c r="T146" s="67">
        <f>S146/S12</f>
        <v>9.1496207469399626E-2</v>
      </c>
      <c r="U146" s="41">
        <f>U135-U144</f>
        <v>-860.77029937873158</v>
      </c>
      <c r="V146" s="67">
        <f>U146/U12</f>
        <v>-6.4288897653864349E-3</v>
      </c>
      <c r="W146" s="50">
        <f>W135-W144</f>
        <v>5751.2851415184196</v>
      </c>
      <c r="X146" s="67">
        <f>W146/W12</f>
        <v>4.2218630864585507E-2</v>
      </c>
      <c r="Y146" s="41">
        <f>Y135-Y144</f>
        <v>29520.559799875042</v>
      </c>
      <c r="Z146" s="214">
        <f>Y146/Y12</f>
        <v>0.14344853030216731</v>
      </c>
      <c r="AA146" s="279">
        <f>AA135-AA144</f>
        <v>155607.58922877221</v>
      </c>
      <c r="AB146" s="236">
        <f>AA146/AA12</f>
        <v>8.1149074031711579E-2</v>
      </c>
      <c r="AC146" s="279">
        <f t="shared" si="74"/>
        <v>12967.299102397685</v>
      </c>
      <c r="AD146" s="236">
        <f>AC146/AC12</f>
        <v>8.1149074031711579E-2</v>
      </c>
      <c r="AE146" s="260"/>
      <c r="AF146" s="259"/>
      <c r="AG146" s="260"/>
      <c r="AH146" s="279">
        <f>AH135-AH144</f>
        <v>-4483.8688060219138</v>
      </c>
      <c r="AI146" s="249">
        <f>AH146/AH12</f>
        <v>-5.568431343538135E-3</v>
      </c>
      <c r="AJ146" s="287">
        <f t="shared" si="84"/>
        <v>164091.01952514797</v>
      </c>
      <c r="AK146" s="53">
        <f t="shared" si="36"/>
        <v>0</v>
      </c>
      <c r="AL146" s="53">
        <f t="shared" si="71"/>
        <v>155607.58922877221</v>
      </c>
      <c r="AM146" s="53">
        <f t="shared" si="75"/>
        <v>1525034.155006045</v>
      </c>
      <c r="AN146" s="53" t="e">
        <f>#REF!-AM146</f>
        <v>#REF!</v>
      </c>
      <c r="AO146" s="53"/>
      <c r="AS146" s="53">
        <f t="shared" si="72"/>
        <v>173219.13191425832</v>
      </c>
    </row>
    <row r="147" spans="1:46" ht="15.75" thickTop="1">
      <c r="A147" s="305"/>
      <c r="B147" s="305"/>
      <c r="C147" s="30"/>
      <c r="D147" s="72"/>
      <c r="E147" s="62"/>
      <c r="F147" s="72"/>
      <c r="G147" s="87"/>
      <c r="H147" s="72"/>
      <c r="I147" s="25"/>
      <c r="J147" s="72"/>
      <c r="K147" s="62"/>
      <c r="L147" s="72"/>
      <c r="M147" s="25"/>
      <c r="N147" s="72"/>
      <c r="O147" s="25"/>
      <c r="P147" s="72"/>
      <c r="Q147" s="25"/>
      <c r="R147" s="72"/>
      <c r="S147" s="25"/>
      <c r="T147" s="72"/>
      <c r="U147" s="62"/>
      <c r="V147" s="72"/>
      <c r="W147" s="44"/>
      <c r="X147" s="72"/>
      <c r="Y147" s="62"/>
      <c r="Z147" s="103"/>
      <c r="AA147" s="193"/>
      <c r="AB147" s="202"/>
      <c r="AC147" s="197">
        <f t="shared" si="74"/>
        <v>0</v>
      </c>
      <c r="AD147" s="202"/>
      <c r="AE147" s="159"/>
      <c r="AF147" s="227"/>
      <c r="AG147" s="159"/>
      <c r="AH147" s="197"/>
      <c r="AI147" s="251"/>
      <c r="AJ147" s="282">
        <f t="shared" si="84"/>
        <v>0</v>
      </c>
      <c r="AK147" s="53">
        <f t="shared" si="36"/>
        <v>0</v>
      </c>
      <c r="AL147" s="53">
        <f t="shared" si="71"/>
        <v>0</v>
      </c>
      <c r="AM147" s="53">
        <f t="shared" si="75"/>
        <v>0</v>
      </c>
      <c r="AN147" s="53" t="e">
        <f>#REF!-AM147</f>
        <v>#REF!</v>
      </c>
      <c r="AO147" s="53"/>
      <c r="AS147" s="53">
        <f t="shared" si="72"/>
        <v>0</v>
      </c>
    </row>
    <row r="148" spans="1:46" ht="15.75" thickBot="1">
      <c r="A148" s="185"/>
      <c r="B148" s="10" t="s">
        <v>187</v>
      </c>
      <c r="C148" s="377">
        <f>C146*12%</f>
        <v>231.1856366092502</v>
      </c>
      <c r="D148" s="187">
        <f>C148/C$12</f>
        <v>1.602984541950952E-3</v>
      </c>
      <c r="E148" s="377">
        <f>E146*12%</f>
        <v>-1026.7960568933299</v>
      </c>
      <c r="F148" s="187">
        <f>E148/E$12</f>
        <v>-9.1510762961124065E-3</v>
      </c>
      <c r="G148" s="377">
        <f>G146*12%</f>
        <v>3088.0190928258394</v>
      </c>
      <c r="H148" s="187">
        <f>G148/G$12</f>
        <v>1.6591276467175446E-2</v>
      </c>
      <c r="I148" s="377">
        <f>I146*12%</f>
        <v>950.89492014476332</v>
      </c>
      <c r="J148" s="187">
        <f>I148/I$12</f>
        <v>5.7859472842852876E-3</v>
      </c>
      <c r="K148" s="377">
        <f>K146*12%</f>
        <v>1818.350377985307</v>
      </c>
      <c r="L148" s="187">
        <f>K148/K$12</f>
        <v>1.2097271444916841E-2</v>
      </c>
      <c r="M148" s="377">
        <f>M146*12%</f>
        <v>4525.0178769704362</v>
      </c>
      <c r="N148" s="187">
        <f>M148/M$12</f>
        <v>2.1230399677329394E-2</v>
      </c>
      <c r="O148" s="377">
        <f>O146*12%</f>
        <v>892.28635774807697</v>
      </c>
      <c r="P148" s="187">
        <f>O148/O$12</f>
        <v>6.612452821314823E-3</v>
      </c>
      <c r="Q148" s="377">
        <f>Q146*12%</f>
        <v>2211.3080669905316</v>
      </c>
      <c r="R148" s="187">
        <f>Q148/Q$12</f>
        <v>1.3197061741754489E-2</v>
      </c>
      <c r="S148" s="377">
        <f>S146*12%</f>
        <v>1853.315478030021</v>
      </c>
      <c r="T148" s="187">
        <f>S148/S$12</f>
        <v>1.0979544896327954E-2</v>
      </c>
      <c r="U148" s="377">
        <f>U146*12%</f>
        <v>-103.29243592544779</v>
      </c>
      <c r="V148" s="187">
        <f>U148/U$12</f>
        <v>-7.7146677184637225E-4</v>
      </c>
      <c r="W148" s="186">
        <f>W146*12%</f>
        <v>690.1542169822103</v>
      </c>
      <c r="X148" s="187">
        <f>W148/W$12</f>
        <v>5.0662357037502609E-3</v>
      </c>
      <c r="Y148" s="186">
        <f>Y146*12%</f>
        <v>3542.4671759850048</v>
      </c>
      <c r="Z148" s="218">
        <f>Y148/Y$12</f>
        <v>1.7213823636260079E-2</v>
      </c>
      <c r="AA148" s="279">
        <f>C148+E148+G148+I148+K148+M148+O148+Q148+S148+U148+W148+Y148</f>
        <v>18672.910707452662</v>
      </c>
      <c r="AB148" s="241">
        <f>AA148/AA$12</f>
        <v>9.7378888838053866E-3</v>
      </c>
      <c r="AC148" s="207">
        <f t="shared" si="74"/>
        <v>1556.0758922877219</v>
      </c>
      <c r="AD148" s="241">
        <f>AC148/AC$12</f>
        <v>9.7378888838053883E-3</v>
      </c>
      <c r="AE148" s="75"/>
      <c r="AF148" s="76"/>
      <c r="AG148" s="76"/>
      <c r="AH148" s="207">
        <v>0</v>
      </c>
      <c r="AI148" s="252">
        <f>AH148/AH$12</f>
        <v>0</v>
      </c>
      <c r="AJ148" s="282">
        <f t="shared" si="84"/>
        <v>20228.986599740383</v>
      </c>
      <c r="AK148" s="53">
        <f>AA148-AL148</f>
        <v>0</v>
      </c>
      <c r="AL148" s="53">
        <f t="shared" si="71"/>
        <v>18672.910707452662</v>
      </c>
      <c r="AM148" s="305"/>
      <c r="AN148" s="305"/>
      <c r="AO148" s="305"/>
      <c r="AS148" s="53">
        <f t="shared" si="72"/>
        <v>20786.295829710998</v>
      </c>
    </row>
    <row r="149" spans="1:46" ht="15.75" thickTop="1">
      <c r="A149" s="305"/>
      <c r="B149" s="258"/>
      <c r="C149" s="130"/>
      <c r="D149" s="49"/>
      <c r="E149" s="130"/>
      <c r="F149" s="70"/>
      <c r="G149" s="130"/>
      <c r="H149" s="70"/>
      <c r="I149" s="130"/>
      <c r="J149" s="70"/>
      <c r="K149" s="130"/>
      <c r="L149" s="70"/>
      <c r="M149" s="130"/>
      <c r="N149" s="70"/>
      <c r="O149" s="130"/>
      <c r="P149" s="70"/>
      <c r="Q149" s="130"/>
      <c r="R149" s="70"/>
      <c r="S149" s="130"/>
      <c r="T149" s="70"/>
      <c r="U149" s="130"/>
      <c r="V149" s="70"/>
      <c r="W149" s="130"/>
      <c r="X149" s="70"/>
      <c r="Y149" s="130"/>
      <c r="AA149" s="193"/>
      <c r="AB149" s="202"/>
      <c r="AC149" s="159">
        <f t="shared" si="74"/>
        <v>0</v>
      </c>
      <c r="AD149" s="202"/>
      <c r="AE149" s="159"/>
      <c r="AF149" s="204"/>
      <c r="AG149" s="204"/>
      <c r="AH149" s="159"/>
      <c r="AI149" s="243"/>
      <c r="AJ149" s="282">
        <f t="shared" si="84"/>
        <v>0</v>
      </c>
      <c r="AK149" s="53">
        <f>AA149-AL149</f>
        <v>0</v>
      </c>
      <c r="AL149" s="53">
        <f t="shared" si="71"/>
        <v>0</v>
      </c>
      <c r="AM149" s="305"/>
      <c r="AN149" s="305"/>
      <c r="AO149" s="305"/>
      <c r="AS149" s="53">
        <f t="shared" ref="AS149:AS152" si="87">Q149*9.4</f>
        <v>0</v>
      </c>
    </row>
    <row r="150" spans="1:46" ht="15.75" thickBot="1">
      <c r="A150" s="185"/>
      <c r="B150" s="10" t="s">
        <v>182</v>
      </c>
      <c r="C150" s="186"/>
      <c r="D150" s="187">
        <f>C150/C$12</f>
        <v>0</v>
      </c>
      <c r="E150" s="186">
        <v>0</v>
      </c>
      <c r="F150" s="187">
        <f>E150/E$12</f>
        <v>0</v>
      </c>
      <c r="G150" s="186"/>
      <c r="H150" s="187">
        <f>G150/G$12</f>
        <v>0</v>
      </c>
      <c r="I150" s="186">
        <v>0</v>
      </c>
      <c r="J150" s="187">
        <f>I150/I$12</f>
        <v>0</v>
      </c>
      <c r="K150" s="186">
        <v>0</v>
      </c>
      <c r="L150" s="187">
        <f>K150/K$12</f>
        <v>0</v>
      </c>
      <c r="M150" s="186">
        <v>0</v>
      </c>
      <c r="N150" s="187">
        <f>M150/M$12</f>
        <v>0</v>
      </c>
      <c r="O150" s="186">
        <v>0</v>
      </c>
      <c r="P150" s="187">
        <f>O150/O$12</f>
        <v>0</v>
      </c>
      <c r="Q150" s="186">
        <v>0</v>
      </c>
      <c r="R150" s="187">
        <f>Q150/Q$12</f>
        <v>0</v>
      </c>
      <c r="S150" s="186">
        <v>0</v>
      </c>
      <c r="T150" s="187">
        <v>0</v>
      </c>
      <c r="U150" s="186">
        <v>0</v>
      </c>
      <c r="V150" s="187">
        <f>U150/U$12</f>
        <v>0</v>
      </c>
      <c r="W150" s="186">
        <v>0</v>
      </c>
      <c r="X150" s="187">
        <f>W150/W$12</f>
        <v>0</v>
      </c>
      <c r="Y150" s="186">
        <v>0</v>
      </c>
      <c r="Z150" s="218">
        <f>Y150/Y$12</f>
        <v>0</v>
      </c>
      <c r="AA150" s="279">
        <f>C150+E150+G150+I150+K150+M150+O150+Q150+S150+U150+W150+Y150</f>
        <v>0</v>
      </c>
      <c r="AB150" s="241">
        <f>AA150/AA$12</f>
        <v>0</v>
      </c>
      <c r="AC150" s="207">
        <f>AA150/12</f>
        <v>0</v>
      </c>
      <c r="AD150" s="241">
        <f>AC150/AC$12</f>
        <v>0</v>
      </c>
      <c r="AE150" s="75"/>
      <c r="AF150" s="76"/>
      <c r="AG150" s="76"/>
      <c r="AH150" s="207">
        <v>0</v>
      </c>
      <c r="AI150" s="252">
        <f>AH150/AH$12</f>
        <v>0</v>
      </c>
      <c r="AJ150" s="282">
        <f t="shared" si="84"/>
        <v>0</v>
      </c>
      <c r="AK150" s="53">
        <f>AA150-AL150</f>
        <v>0</v>
      </c>
      <c r="AL150" s="53">
        <f>C150+E150+G150+I150+K150+M150+O150+Q150+S150+U150+W150+Y150</f>
        <v>0</v>
      </c>
      <c r="AM150" s="305"/>
      <c r="AN150" s="305"/>
      <c r="AO150" s="305"/>
      <c r="AS150" s="53">
        <f t="shared" si="87"/>
        <v>0</v>
      </c>
    </row>
    <row r="151" spans="1:46" ht="15.75" thickTop="1">
      <c r="A151" s="305"/>
      <c r="B151" s="65"/>
      <c r="C151" s="130"/>
      <c r="D151" s="49"/>
      <c r="E151" s="130"/>
      <c r="F151" s="70"/>
      <c r="G151" s="130"/>
      <c r="H151" s="70"/>
      <c r="I151" s="130"/>
      <c r="J151" s="70"/>
      <c r="K151" s="130"/>
      <c r="L151" s="70"/>
      <c r="M151" s="130"/>
      <c r="N151" s="70"/>
      <c r="O151" s="130"/>
      <c r="P151" s="70"/>
      <c r="Q151" s="130"/>
      <c r="R151" s="70"/>
      <c r="S151" s="130"/>
      <c r="T151" s="70"/>
      <c r="U151" s="130"/>
      <c r="V151" s="70"/>
      <c r="W151" s="130"/>
      <c r="X151" s="72"/>
      <c r="Y151" s="130"/>
      <c r="Z151" s="103"/>
      <c r="AA151" s="193"/>
      <c r="AB151" s="202"/>
      <c r="AC151" s="159">
        <f>AA151/12</f>
        <v>0</v>
      </c>
      <c r="AD151" s="202"/>
      <c r="AE151" s="159"/>
      <c r="AF151" s="204"/>
      <c r="AG151" s="204"/>
      <c r="AH151" s="159"/>
      <c r="AI151" s="243"/>
      <c r="AJ151" s="282">
        <f t="shared" si="84"/>
        <v>0</v>
      </c>
      <c r="AK151" s="53">
        <f>AA151-AL151</f>
        <v>0</v>
      </c>
      <c r="AL151" s="53">
        <f>C151+E151+G151+I151+K151+M151+O151+Q151+S151+U151+W151+Y151</f>
        <v>0</v>
      </c>
      <c r="AM151" s="305"/>
      <c r="AN151" s="305"/>
      <c r="AO151" s="305"/>
      <c r="AS151" s="53">
        <f t="shared" si="87"/>
        <v>0</v>
      </c>
    </row>
    <row r="152" spans="1:46" ht="15.75" thickBot="1">
      <c r="A152" s="106"/>
      <c r="B152" s="188" t="s">
        <v>181</v>
      </c>
      <c r="C152" s="290">
        <f>C146-C148-C150</f>
        <v>1695.3613351345016</v>
      </c>
      <c r="D152" s="120">
        <f>C152/C$12</f>
        <v>1.1755219974306981E-2</v>
      </c>
      <c r="E152" s="290">
        <f>E146-E148-E150</f>
        <v>-7529.8377505510853</v>
      </c>
      <c r="F152" s="120">
        <f>E152/E$12</f>
        <v>-6.7107892838157643E-2</v>
      </c>
      <c r="G152" s="290">
        <f>G146-G148-G150</f>
        <v>22645.473347389492</v>
      </c>
      <c r="H152" s="120">
        <f>G152/G$12</f>
        <v>0.12166936075928661</v>
      </c>
      <c r="I152" s="290">
        <f>I146-I148-I150</f>
        <v>6973.2294143949312</v>
      </c>
      <c r="J152" s="120">
        <f>I152/I$12</f>
        <v>4.2430280084758777E-2</v>
      </c>
      <c r="K152" s="189">
        <f>K146-K148-K150</f>
        <v>13334.569438558918</v>
      </c>
      <c r="L152" s="120">
        <f>K152/K$12</f>
        <v>8.8713323929390173E-2</v>
      </c>
      <c r="M152" s="189">
        <f>M146-M148-M150</f>
        <v>33183.464431116532</v>
      </c>
      <c r="N152" s="120">
        <f>M152/M$12</f>
        <v>0.1556895976337489</v>
      </c>
      <c r="O152" s="189">
        <f>O146-O148-O150</f>
        <v>6543.433290152565</v>
      </c>
      <c r="P152" s="120">
        <f>O152/O$12</f>
        <v>4.8491320689642035E-2</v>
      </c>
      <c r="Q152" s="189">
        <f>Q146-Q148-Q150</f>
        <v>16216.259157930566</v>
      </c>
      <c r="R152" s="120">
        <f>Q152/Q$12</f>
        <v>9.6778452772866258E-2</v>
      </c>
      <c r="S152" s="189">
        <f>S146-S148-S150</f>
        <v>13590.980172220156</v>
      </c>
      <c r="T152" s="120">
        <f>S152/S$12</f>
        <v>8.0516662573071662E-2</v>
      </c>
      <c r="U152" s="189">
        <f>U146-U148-U150</f>
        <v>-757.47786345328382</v>
      </c>
      <c r="V152" s="120">
        <f>U152/U$12</f>
        <v>-5.6574229935400632E-3</v>
      </c>
      <c r="W152" s="189">
        <f>W146-W148-W150</f>
        <v>5061.130924536209</v>
      </c>
      <c r="X152" s="120">
        <f>W152/W$12</f>
        <v>3.7152395160835246E-2</v>
      </c>
      <c r="Y152" s="189">
        <f>Y146-Y148-Y150</f>
        <v>25978.092623890036</v>
      </c>
      <c r="Z152" s="219">
        <f>Y152/Y$12</f>
        <v>0.12623470666590725</v>
      </c>
      <c r="AA152" s="280">
        <f>AA146-AA148-AA150</f>
        <v>136934.67852131955</v>
      </c>
      <c r="AB152" s="253">
        <f>AA152/AA$12</f>
        <v>7.1411185147906189E-2</v>
      </c>
      <c r="AC152" s="254">
        <f>AA152/12</f>
        <v>11411.223210109963</v>
      </c>
      <c r="AD152" s="253">
        <f>AC152/AC$12</f>
        <v>7.1411185147906189E-2</v>
      </c>
      <c r="AE152" s="255"/>
      <c r="AF152" s="256"/>
      <c r="AG152" s="256"/>
      <c r="AH152" s="254">
        <f>AH146-AH148-AH150</f>
        <v>-4483.8688060219138</v>
      </c>
      <c r="AI152" s="257">
        <f>AH152/AH$12</f>
        <v>-5.568431343538135E-3</v>
      </c>
      <c r="AJ152" s="285">
        <f t="shared" si="84"/>
        <v>143862.03292540758</v>
      </c>
      <c r="AK152" s="53">
        <f>AA152-AL152</f>
        <v>0</v>
      </c>
      <c r="AL152" s="53">
        <f>C152+E152+G152+I152+K152+M152+O152+Q152+S152+U152+W152+Y152</f>
        <v>136934.67852131953</v>
      </c>
      <c r="AM152" s="305"/>
      <c r="AN152" s="305"/>
      <c r="AO152" s="305"/>
      <c r="AS152" s="53">
        <f t="shared" si="87"/>
        <v>152432.83608454734</v>
      </c>
    </row>
    <row r="153" spans="1:46" ht="15.75" thickTop="1">
      <c r="E153" s="123">
        <f>E152*9.4</f>
        <v>-70780.474855180204</v>
      </c>
      <c r="AA153" s="299">
        <f>AA152*9.4</f>
        <v>1287185.9781004039</v>
      </c>
      <c r="AB153" s="300" t="s">
        <v>194</v>
      </c>
    </row>
    <row r="154" spans="1:46">
      <c r="A154" s="305"/>
      <c r="B154" s="64" t="s">
        <v>183</v>
      </c>
      <c r="C154" s="306">
        <f>C152</f>
        <v>1695.3613351345016</v>
      </c>
      <c r="D154" s="15"/>
      <c r="E154" s="306">
        <f>E152+C154</f>
        <v>-5834.4764154165841</v>
      </c>
      <c r="F154" s="190"/>
      <c r="G154" s="289">
        <f>G152+E154</f>
        <v>16810.996931972906</v>
      </c>
      <c r="H154" s="190"/>
      <c r="I154" s="306">
        <f>I152+G154</f>
        <v>23784.226346367839</v>
      </c>
      <c r="J154" s="190"/>
      <c r="K154" s="306">
        <f>K152+I154</f>
        <v>37118.795784926755</v>
      </c>
      <c r="L154" s="190"/>
      <c r="M154" s="306">
        <f>M152+K154</f>
        <v>70302.260216043287</v>
      </c>
      <c r="N154" s="190"/>
      <c r="O154" s="306">
        <f>O152+M154</f>
        <v>76845.69350619585</v>
      </c>
      <c r="P154" s="190"/>
      <c r="Q154" s="306">
        <f>Q152+O154</f>
        <v>93061.952664126409</v>
      </c>
      <c r="R154" s="190"/>
      <c r="S154" s="306">
        <f>S152+Q154</f>
        <v>106652.93283634656</v>
      </c>
      <c r="T154" s="190"/>
      <c r="U154" s="306">
        <f>U152+S154</f>
        <v>105895.45497289328</v>
      </c>
      <c r="V154" s="190"/>
      <c r="W154" s="306">
        <f>W152+U154</f>
        <v>110956.58589742948</v>
      </c>
      <c r="X154" s="190"/>
      <c r="Y154" s="306">
        <f>Y152+W154</f>
        <v>136934.67852131953</v>
      </c>
      <c r="Z154" s="281"/>
      <c r="AA154" s="123">
        <f>AA152+AA148</f>
        <v>155607.58922877221</v>
      </c>
      <c r="AJ154" s="307"/>
      <c r="AK154" s="305"/>
      <c r="AL154" s="191"/>
      <c r="AM154" s="191">
        <f>C154*0.985+E154*0.985+G154*0.985+I154*0.985+K154*0.985+M154*0.985+O154*0.985+Q154*0.985+S154*0.985+U154*0.985+W154*0.985+Y154*0.985</f>
        <v>762611.09565837972</v>
      </c>
      <c r="AN154" s="191" t="e">
        <f>#REF!-AM154</f>
        <v>#REF!</v>
      </c>
      <c r="AO154" s="191"/>
    </row>
    <row r="155" spans="1:46">
      <c r="I155" s="24">
        <v>-64116.114000000001</v>
      </c>
      <c r="O155" s="24">
        <v>-87599.966</v>
      </c>
      <c r="AA155" s="123">
        <f>AA154*12%</f>
        <v>18672.910707452666</v>
      </c>
    </row>
    <row r="156" spans="1:46">
      <c r="B156" s="308" t="s">
        <v>194</v>
      </c>
      <c r="C156" s="42">
        <f>C154*9.4</f>
        <v>15936.396550264315</v>
      </c>
      <c r="D156" s="379"/>
      <c r="E156" s="42">
        <f>E154*9.4</f>
        <v>-54844.078304915893</v>
      </c>
      <c r="F156" s="379"/>
      <c r="G156" s="42">
        <f>G154*9.4</f>
        <v>158023.37116054533</v>
      </c>
      <c r="H156" s="379"/>
      <c r="I156" s="42">
        <f>I154*9.4</f>
        <v>223571.72765585769</v>
      </c>
      <c r="J156" s="379"/>
      <c r="K156" s="42">
        <f>K154*9.4</f>
        <v>348916.68037831149</v>
      </c>
      <c r="L156" s="379"/>
      <c r="M156" s="42">
        <f>M154*9.4</f>
        <v>660841.24603080691</v>
      </c>
      <c r="N156" s="379"/>
      <c r="O156" s="42">
        <f>O154*9.4</f>
        <v>722349.51895824098</v>
      </c>
      <c r="P156" s="379"/>
      <c r="Q156" s="42">
        <f>Q154*9.4</f>
        <v>874782.35504278832</v>
      </c>
      <c r="R156" s="379"/>
      <c r="S156" s="42">
        <f>S154*9.4</f>
        <v>1002537.5686616577</v>
      </c>
      <c r="T156" s="379"/>
      <c r="U156" s="42">
        <f>U154*9.4</f>
        <v>995417.27674519678</v>
      </c>
      <c r="V156" s="379"/>
      <c r="W156" s="42">
        <f>W154*9.4</f>
        <v>1042991.9074358372</v>
      </c>
      <c r="X156" s="379"/>
      <c r="Y156" s="42">
        <f>Y154*9.4</f>
        <v>1287185.9781004037</v>
      </c>
      <c r="Z156" s="379"/>
      <c r="AA156" s="123">
        <f>AA155*9.4</f>
        <v>175525.36065005505</v>
      </c>
    </row>
    <row r="157" spans="1:46">
      <c r="E157" s="123" t="s">
        <v>188</v>
      </c>
      <c r="G157" s="123" t="s">
        <v>188</v>
      </c>
      <c r="I157" s="24" t="s">
        <v>188</v>
      </c>
      <c r="K157" s="123">
        <f>K16*9.4</f>
        <v>1412921.3873467301</v>
      </c>
      <c r="M157" s="123"/>
      <c r="O157" s="123">
        <f>O16*9.4</f>
        <v>1268438.806216564</v>
      </c>
      <c r="Q157" s="123">
        <f>Q16*9.4</f>
        <v>1575069.9842484449</v>
      </c>
    </row>
    <row r="158" spans="1:46">
      <c r="E158" s="123" t="s">
        <v>188</v>
      </c>
      <c r="I158" s="24" t="s">
        <v>188</v>
      </c>
      <c r="K158" s="123">
        <f>K36*9.4</f>
        <v>619659.73621280643</v>
      </c>
      <c r="M158" s="24">
        <f>M36*9.4</f>
        <v>1044260.3789074002</v>
      </c>
      <c r="O158" s="123">
        <f>O36*9.4</f>
        <v>558221.23085466644</v>
      </c>
      <c r="Q158" s="123">
        <f>Q36*9.4</f>
        <v>736737.72463457286</v>
      </c>
    </row>
    <row r="159" spans="1:46">
      <c r="I159" s="24" t="s">
        <v>188</v>
      </c>
      <c r="K159" s="123">
        <f>SUM(K145+K148)*9.4</f>
        <v>667916.69841146993</v>
      </c>
      <c r="M159" s="24">
        <f>SUM(M145-M142+M148)*9.4</f>
        <v>567051.38944010471</v>
      </c>
      <c r="O159" s="123">
        <f>SUM(O145+O148-O142)*9.4</f>
        <v>568442.70243446331</v>
      </c>
      <c r="Q159" s="123">
        <f>SUM(Q145+Q148-Q142)*9.4</f>
        <v>605632.82352932473</v>
      </c>
    </row>
    <row r="160" spans="1:46" s="101" customFormat="1" hidden="1">
      <c r="B160" s="292" t="s">
        <v>121</v>
      </c>
      <c r="C160" s="293">
        <f>C152</f>
        <v>1695.3613351345016</v>
      </c>
      <c r="D160" s="293"/>
      <c r="E160" s="293">
        <f>E152</f>
        <v>-7529.8377505510853</v>
      </c>
      <c r="F160" s="293"/>
      <c r="G160" s="293">
        <f>G152</f>
        <v>22645.473347389492</v>
      </c>
      <c r="H160" s="293"/>
      <c r="I160" s="293">
        <f>I152</f>
        <v>6973.2294143949312</v>
      </c>
      <c r="J160" s="293"/>
      <c r="K160" s="293">
        <f>K152</f>
        <v>13334.569438558918</v>
      </c>
      <c r="L160" s="293"/>
      <c r="M160" s="293">
        <f>M152</f>
        <v>33183.464431116532</v>
      </c>
      <c r="N160" s="293"/>
      <c r="O160" s="293">
        <f>O152</f>
        <v>6543.433290152565</v>
      </c>
      <c r="P160" s="293"/>
      <c r="Q160" s="293">
        <f>Q152</f>
        <v>16216.259157930566</v>
      </c>
      <c r="R160" s="293"/>
      <c r="S160" s="293">
        <f>S152</f>
        <v>13590.980172220156</v>
      </c>
      <c r="T160" s="293"/>
      <c r="U160" s="293">
        <f>U152</f>
        <v>-757.47786345328382</v>
      </c>
      <c r="V160" s="293"/>
      <c r="W160" s="293">
        <f>W152</f>
        <v>5061.130924536209</v>
      </c>
      <c r="X160" s="293"/>
      <c r="Y160" s="293">
        <f>Y152</f>
        <v>25978.092623890036</v>
      </c>
      <c r="Z160" s="293"/>
      <c r="AA160" s="293">
        <f>AA152</f>
        <v>136934.67852131955</v>
      </c>
      <c r="AB160" s="293"/>
      <c r="AC160" s="293">
        <f>AC152</f>
        <v>11411.223210109963</v>
      </c>
      <c r="AD160" s="293"/>
    </row>
    <row r="161" spans="2:30" s="101" customFormat="1" hidden="1">
      <c r="C161" s="102"/>
      <c r="D161" s="217"/>
      <c r="E161" s="102"/>
      <c r="F161" s="103"/>
      <c r="G161" s="102"/>
      <c r="H161" s="103"/>
      <c r="I161" s="102"/>
      <c r="J161" s="103"/>
      <c r="K161" s="102"/>
      <c r="L161" s="103"/>
      <c r="M161" s="102"/>
      <c r="N161" s="103"/>
      <c r="O161" s="102"/>
      <c r="P161" s="103"/>
      <c r="Q161" s="102"/>
      <c r="R161" s="103"/>
      <c r="S161" s="102"/>
      <c r="T161" s="103"/>
      <c r="U161" s="102"/>
      <c r="V161" s="103"/>
      <c r="W161" s="102"/>
      <c r="X161" s="103"/>
      <c r="Y161" s="102"/>
      <c r="Z161" s="103"/>
      <c r="AA161" s="100"/>
      <c r="AB161" s="104"/>
      <c r="AC161" s="100"/>
      <c r="AD161" s="104"/>
    </row>
    <row r="162" spans="2:30" s="101" customFormat="1" hidden="1">
      <c r="B162" s="101" t="s">
        <v>189</v>
      </c>
      <c r="C162" s="102">
        <f>C150</f>
        <v>0</v>
      </c>
      <c r="D162" s="217"/>
      <c r="E162" s="102">
        <f>E150</f>
        <v>0</v>
      </c>
      <c r="F162" s="103"/>
      <c r="G162" s="102">
        <f>G150</f>
        <v>0</v>
      </c>
      <c r="H162" s="103"/>
      <c r="I162" s="102">
        <f>I150</f>
        <v>0</v>
      </c>
      <c r="J162" s="103"/>
      <c r="K162" s="102">
        <f>K150</f>
        <v>0</v>
      </c>
      <c r="L162" s="103"/>
      <c r="M162" s="102">
        <f>M150</f>
        <v>0</v>
      </c>
      <c r="N162" s="103"/>
      <c r="O162" s="102">
        <f>O150</f>
        <v>0</v>
      </c>
      <c r="P162" s="103"/>
      <c r="Q162" s="102">
        <f>Q150</f>
        <v>0</v>
      </c>
      <c r="R162" s="103"/>
      <c r="S162" s="102">
        <f>S150</f>
        <v>0</v>
      </c>
      <c r="T162" s="103"/>
      <c r="U162" s="102">
        <f>U150</f>
        <v>0</v>
      </c>
      <c r="V162" s="103"/>
      <c r="W162" s="102">
        <f>W150</f>
        <v>0</v>
      </c>
      <c r="X162" s="103"/>
      <c r="Y162" s="102">
        <f>Y150</f>
        <v>0</v>
      </c>
      <c r="Z162" s="103"/>
      <c r="AA162" s="102">
        <f>AA150</f>
        <v>0</v>
      </c>
      <c r="AB162" s="104"/>
      <c r="AC162" s="102">
        <f>AC150</f>
        <v>0</v>
      </c>
      <c r="AD162" s="104"/>
    </row>
    <row r="163" spans="2:30" s="101" customFormat="1" hidden="1">
      <c r="C163" s="102"/>
      <c r="D163" s="217"/>
      <c r="E163" s="102"/>
      <c r="F163" s="103"/>
      <c r="G163" s="102"/>
      <c r="H163" s="103"/>
      <c r="I163" s="102"/>
      <c r="J163" s="103"/>
      <c r="K163" s="102"/>
      <c r="L163" s="103"/>
      <c r="M163" s="102"/>
      <c r="N163" s="103"/>
      <c r="O163" s="102"/>
      <c r="P163" s="103"/>
      <c r="Q163" s="102"/>
      <c r="R163" s="103"/>
      <c r="S163" s="102"/>
      <c r="T163" s="103"/>
      <c r="U163" s="102"/>
      <c r="V163" s="103"/>
      <c r="W163" s="102"/>
      <c r="X163" s="103"/>
      <c r="Y163" s="102"/>
      <c r="Z163" s="103"/>
      <c r="AA163" s="100"/>
      <c r="AB163" s="104"/>
      <c r="AC163" s="100"/>
      <c r="AD163" s="104"/>
    </row>
    <row r="164" spans="2:30" s="101" customFormat="1" hidden="1">
      <c r="B164" s="101" t="s">
        <v>190</v>
      </c>
      <c r="C164" s="102">
        <f>C142</f>
        <v>8539</v>
      </c>
      <c r="D164" s="102"/>
      <c r="E164" s="102">
        <f>E142</f>
        <v>8539</v>
      </c>
      <c r="F164" s="102"/>
      <c r="G164" s="102">
        <f>G142</f>
        <v>8539</v>
      </c>
      <c r="H164" s="102"/>
      <c r="I164" s="102">
        <f>I142</f>
        <v>8539</v>
      </c>
      <c r="J164" s="102"/>
      <c r="K164" s="102">
        <f>K142</f>
        <v>8539</v>
      </c>
      <c r="L164" s="102"/>
      <c r="M164" s="102">
        <f>M142</f>
        <v>8539</v>
      </c>
      <c r="N164" s="102"/>
      <c r="O164" s="102">
        <f>O142</f>
        <v>8539</v>
      </c>
      <c r="P164" s="102"/>
      <c r="Q164" s="102">
        <f>Q142</f>
        <v>8539</v>
      </c>
      <c r="R164" s="102"/>
      <c r="S164" s="102">
        <f>S142</f>
        <v>8539</v>
      </c>
      <c r="T164" s="102"/>
      <c r="U164" s="102">
        <f>U142</f>
        <v>8539</v>
      </c>
      <c r="V164" s="102"/>
      <c r="W164" s="102">
        <f>W142</f>
        <v>8539</v>
      </c>
      <c r="X164" s="102"/>
      <c r="Y164" s="102">
        <f>Y142</f>
        <v>8539</v>
      </c>
      <c r="Z164" s="102"/>
      <c r="AA164" s="102">
        <f>AA142</f>
        <v>102468</v>
      </c>
      <c r="AB164" s="102"/>
      <c r="AC164" s="102">
        <f>AC142</f>
        <v>8539</v>
      </c>
      <c r="AD164" s="102"/>
    </row>
    <row r="165" spans="2:30" s="101" customFormat="1" hidden="1">
      <c r="C165" s="102"/>
      <c r="D165" s="217"/>
      <c r="E165" s="102"/>
      <c r="F165" s="103"/>
      <c r="G165" s="102"/>
      <c r="H165" s="103"/>
      <c r="I165" s="102"/>
      <c r="J165" s="103"/>
      <c r="K165" s="102"/>
      <c r="L165" s="103"/>
      <c r="M165" s="102"/>
      <c r="N165" s="103"/>
      <c r="O165" s="102"/>
      <c r="P165" s="103"/>
      <c r="Q165" s="102"/>
      <c r="R165" s="103"/>
      <c r="S165" s="102"/>
      <c r="T165" s="103"/>
      <c r="U165" s="102"/>
      <c r="V165" s="103"/>
      <c r="W165" s="102"/>
      <c r="X165" s="103"/>
      <c r="Y165" s="102"/>
      <c r="Z165" s="103"/>
      <c r="AA165" s="102"/>
      <c r="AB165" s="104"/>
      <c r="AC165" s="102"/>
      <c r="AD165" s="104"/>
    </row>
    <row r="166" spans="2:30" s="101" customFormat="1" hidden="1">
      <c r="B166" s="101" t="s">
        <v>191</v>
      </c>
      <c r="C166" s="102">
        <f>C144-C142</f>
        <v>9986.1579999999994</v>
      </c>
      <c r="D166" s="102"/>
      <c r="E166" s="102">
        <f>E144-E142</f>
        <v>9986.1589999999997</v>
      </c>
      <c r="F166" s="102"/>
      <c r="G166" s="102">
        <f>G144-G142</f>
        <v>9986.1579999999994</v>
      </c>
      <c r="H166" s="102"/>
      <c r="I166" s="102">
        <f>I144-I142</f>
        <v>9986.1589999999997</v>
      </c>
      <c r="J166" s="102"/>
      <c r="K166" s="102">
        <f>K144-K142</f>
        <v>9986.1579999999994</v>
      </c>
      <c r="L166" s="102"/>
      <c r="M166" s="102">
        <f>M144-M142</f>
        <v>9986.1589999999997</v>
      </c>
      <c r="N166" s="102"/>
      <c r="O166" s="102">
        <f>O144-O142</f>
        <v>9986.1579999999994</v>
      </c>
      <c r="P166" s="102"/>
      <c r="Q166" s="102">
        <f>Q144-Q142</f>
        <v>9986.1589999999997</v>
      </c>
      <c r="R166" s="102"/>
      <c r="S166" s="102">
        <f>S144-S142</f>
        <v>9986.1569999999992</v>
      </c>
      <c r="T166" s="102"/>
      <c r="U166" s="102">
        <f>U144-U142</f>
        <v>9986.1579999999994</v>
      </c>
      <c r="V166" s="102"/>
      <c r="W166" s="102">
        <f>W144-W142</f>
        <v>9986.1579999999994</v>
      </c>
      <c r="X166" s="102"/>
      <c r="Y166" s="102">
        <f>Y144-Y142</f>
        <v>9986.1579999999994</v>
      </c>
      <c r="Z166" s="102"/>
      <c r="AA166" s="102">
        <f>AA144-AA142</f>
        <v>119833.89899999998</v>
      </c>
      <c r="AB166" s="102"/>
      <c r="AC166" s="102">
        <f>AC144-AC142</f>
        <v>9986.1582499999968</v>
      </c>
      <c r="AD166" s="102"/>
    </row>
    <row r="167" spans="2:30" s="101" customFormat="1" hidden="1">
      <c r="C167" s="102"/>
      <c r="D167" s="217"/>
      <c r="E167" s="102"/>
      <c r="F167" s="103"/>
      <c r="G167" s="102"/>
      <c r="H167" s="103"/>
      <c r="I167" s="102"/>
      <c r="J167" s="103"/>
      <c r="K167" s="102"/>
      <c r="L167" s="103"/>
      <c r="M167" s="102"/>
      <c r="N167" s="103"/>
      <c r="O167" s="102"/>
      <c r="P167" s="103"/>
      <c r="Q167" s="102"/>
      <c r="R167" s="103"/>
      <c r="S167" s="102"/>
      <c r="T167" s="103"/>
      <c r="U167" s="102"/>
      <c r="V167" s="103"/>
      <c r="W167" s="102"/>
      <c r="X167" s="103"/>
      <c r="Y167" s="102"/>
      <c r="Z167" s="103"/>
      <c r="AA167" s="100"/>
      <c r="AB167" s="104"/>
      <c r="AC167" s="102"/>
      <c r="AD167" s="104"/>
    </row>
    <row r="168" spans="2:30" s="101" customFormat="1" hidden="1">
      <c r="C168" s="102"/>
      <c r="D168" s="217"/>
      <c r="E168" s="102"/>
      <c r="F168" s="103"/>
      <c r="G168" s="102"/>
      <c r="H168" s="103"/>
      <c r="I168" s="102"/>
      <c r="J168" s="103"/>
      <c r="K168" s="102"/>
      <c r="L168" s="103"/>
      <c r="M168" s="102"/>
      <c r="N168" s="103"/>
      <c r="O168" s="102"/>
      <c r="P168" s="103"/>
      <c r="Q168" s="102"/>
      <c r="R168" s="103"/>
      <c r="S168" s="102"/>
      <c r="T168" s="103"/>
      <c r="U168" s="102"/>
      <c r="V168" s="103"/>
      <c r="W168" s="102"/>
      <c r="X168" s="103"/>
      <c r="Y168" s="102"/>
      <c r="Z168" s="103"/>
      <c r="AA168" s="100"/>
      <c r="AB168" s="104"/>
      <c r="AC168" s="100"/>
      <c r="AD168" s="104"/>
    </row>
    <row r="169" spans="2:30" s="101" customFormat="1" hidden="1">
      <c r="B169" s="294" t="s">
        <v>192</v>
      </c>
      <c r="C169" s="295">
        <f>C162+C160+C164+C166</f>
        <v>20220.519335134501</v>
      </c>
      <c r="D169" s="296"/>
      <c r="E169" s="295">
        <f>E162+E160+E164+E166</f>
        <v>10995.321249448914</v>
      </c>
      <c r="F169" s="295"/>
      <c r="G169" s="295">
        <f>G162+G160+G164+G166</f>
        <v>41170.631347389492</v>
      </c>
      <c r="H169" s="295"/>
      <c r="I169" s="295">
        <f>I162+I160+I164+I166</f>
        <v>25498.388414394933</v>
      </c>
      <c r="J169" s="295"/>
      <c r="K169" s="295">
        <f>K162+K160+K164+K166</f>
        <v>31859.727438558915</v>
      </c>
      <c r="L169" s="295"/>
      <c r="M169" s="295">
        <f>M162+M160+M164+M166</f>
        <v>51708.623431116532</v>
      </c>
      <c r="N169" s="295"/>
      <c r="O169" s="295">
        <f>O162+O160+O164+O166</f>
        <v>25068.591290152566</v>
      </c>
      <c r="P169" s="295"/>
      <c r="Q169" s="295">
        <f>Q162+Q160+Q164+Q166</f>
        <v>34741.418157930566</v>
      </c>
      <c r="R169" s="295"/>
      <c r="S169" s="295">
        <f>S162+S160+S164+S166</f>
        <v>32116.137172220155</v>
      </c>
      <c r="T169" s="295"/>
      <c r="U169" s="295">
        <f>U162+U160+U164+U166</f>
        <v>17767.680136546714</v>
      </c>
      <c r="V169" s="295"/>
      <c r="W169" s="295">
        <f>W162+W160+W164+W166</f>
        <v>23586.288924536209</v>
      </c>
      <c r="X169" s="295"/>
      <c r="Y169" s="295">
        <f>Y162+Y160+Y164+Y166</f>
        <v>44503.250623890039</v>
      </c>
      <c r="Z169" s="295"/>
      <c r="AA169" s="295">
        <f>AA162+AA160+AA164+AA166</f>
        <v>359236.5775213195</v>
      </c>
      <c r="AB169" s="104"/>
      <c r="AC169" s="102">
        <f>AA169/12</f>
        <v>29936.381460109958</v>
      </c>
      <c r="AD169" s="104"/>
    </row>
    <row r="170" spans="2:30" s="101" customFormat="1" hidden="1">
      <c r="C170" s="102"/>
      <c r="D170" s="217"/>
      <c r="E170" s="102"/>
      <c r="F170" s="103"/>
      <c r="G170" s="102"/>
      <c r="H170" s="103"/>
      <c r="I170" s="102"/>
      <c r="J170" s="103"/>
      <c r="K170" s="102"/>
      <c r="L170" s="103"/>
      <c r="M170" s="102"/>
      <c r="N170" s="103"/>
      <c r="O170" s="102"/>
      <c r="P170" s="103"/>
      <c r="Q170" s="102"/>
      <c r="R170" s="103"/>
      <c r="S170" s="102"/>
      <c r="T170" s="103"/>
      <c r="U170" s="102"/>
      <c r="V170" s="103"/>
      <c r="W170" s="102"/>
      <c r="X170" s="103"/>
      <c r="Y170" s="102"/>
      <c r="Z170" s="103"/>
      <c r="AA170" s="100"/>
      <c r="AB170" s="104"/>
      <c r="AC170" s="100"/>
      <c r="AD170" s="104"/>
    </row>
    <row r="171" spans="2:30" s="101" customFormat="1" hidden="1">
      <c r="B171" s="297"/>
      <c r="C171" s="102"/>
      <c r="D171" s="217"/>
      <c r="E171" s="102"/>
      <c r="F171" s="103"/>
      <c r="G171" s="102"/>
      <c r="H171" s="103"/>
      <c r="I171" s="102"/>
      <c r="J171" s="103"/>
      <c r="K171" s="102"/>
      <c r="L171" s="103"/>
      <c r="M171" s="102"/>
      <c r="N171" s="103"/>
      <c r="O171" s="102"/>
      <c r="P171" s="103"/>
      <c r="Q171" s="102"/>
      <c r="R171" s="103"/>
      <c r="S171" s="102"/>
      <c r="T171" s="103"/>
      <c r="U171" s="102"/>
      <c r="V171" s="103"/>
      <c r="W171" s="102"/>
      <c r="X171" s="103"/>
      <c r="Y171" s="102"/>
      <c r="Z171" s="103"/>
      <c r="AA171" s="100"/>
      <c r="AB171" s="104"/>
      <c r="AC171" s="100"/>
      <c r="AD171" s="104"/>
    </row>
    <row r="172" spans="2:30" s="101" customFormat="1" hidden="1">
      <c r="B172" s="298" t="s">
        <v>193</v>
      </c>
      <c r="C172" s="293">
        <f>C169</f>
        <v>20220.519335134501</v>
      </c>
      <c r="D172" s="293"/>
      <c r="E172" s="293">
        <f>C172+E169</f>
        <v>31215.840584583413</v>
      </c>
      <c r="F172" s="293"/>
      <c r="G172" s="293">
        <f>E172+G169</f>
        <v>72386.471931972905</v>
      </c>
      <c r="H172" s="293"/>
      <c r="I172" s="293">
        <f>G172+I169</f>
        <v>97884.860346367845</v>
      </c>
      <c r="J172" s="293"/>
      <c r="K172" s="293">
        <f>I172+K169</f>
        <v>129744.58778492676</v>
      </c>
      <c r="L172" s="293"/>
      <c r="M172" s="293">
        <f>K172+M169</f>
        <v>181453.21121604327</v>
      </c>
      <c r="N172" s="293"/>
      <c r="O172" s="293">
        <f>M172+O169</f>
        <v>206521.80250619585</v>
      </c>
      <c r="P172" s="293"/>
      <c r="Q172" s="293">
        <f>O172+Q169</f>
        <v>241263.22066412642</v>
      </c>
      <c r="R172" s="293"/>
      <c r="S172" s="293">
        <f>Q172+S169</f>
        <v>273379.35783634655</v>
      </c>
      <c r="T172" s="293"/>
      <c r="U172" s="293">
        <f>S172+U169</f>
        <v>291147.03797289327</v>
      </c>
      <c r="V172" s="293"/>
      <c r="W172" s="293">
        <f>U172+W169</f>
        <v>314733.32689742948</v>
      </c>
      <c r="X172" s="293"/>
      <c r="Y172" s="293">
        <f>W172+Y169</f>
        <v>359236.5775213195</v>
      </c>
      <c r="Z172" s="293"/>
      <c r="AA172" s="293"/>
      <c r="AB172" s="293"/>
      <c r="AC172" s="293"/>
      <c r="AD172" s="293"/>
    </row>
    <row r="173" spans="2:30">
      <c r="M173" s="24">
        <f>SUM(M152+M142)*9.4</f>
        <v>392191.1656524954</v>
      </c>
      <c r="O173" s="24">
        <f>SUM(O152+O142)*9.4</f>
        <v>141774.8729274341</v>
      </c>
    </row>
  </sheetData>
  <mergeCells count="14">
    <mergeCell ref="Y2:Z2"/>
    <mergeCell ref="AA2:AB2"/>
    <mergeCell ref="AC2:AD2"/>
    <mergeCell ref="AH2:AI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0" priority="1" operator="lessThan">
      <formula>0</formula>
    </cfRule>
  </conditionalFormatting>
  <printOptions horizontalCentered="1" verticalCentered="1" gridLines="1"/>
  <pageMargins left="0" right="0" top="1.83" bottom="0.75" header="0.3" footer="0.3"/>
  <pageSetup paperSize="8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2"/>
  <sheetViews>
    <sheetView topLeftCell="A52" workbookViewId="0">
      <selection activeCell="D77" sqref="D77"/>
    </sheetView>
  </sheetViews>
  <sheetFormatPr defaultRowHeight="15"/>
  <cols>
    <col min="1" max="1" width="21.28515625" customWidth="1"/>
    <col min="2" max="2" width="13.5703125" customWidth="1"/>
    <col min="3" max="3" width="8.5703125" customWidth="1"/>
    <col min="4" max="4" width="12.5703125" customWidth="1"/>
    <col min="5" max="5" width="12.140625" customWidth="1"/>
    <col min="6" max="6" width="12.7109375" customWidth="1"/>
    <col min="7" max="7" width="12.42578125" customWidth="1"/>
    <col min="8" max="8" width="12.5703125" customWidth="1"/>
    <col min="9" max="9" width="37.5703125" customWidth="1"/>
  </cols>
  <sheetData>
    <row r="1" spans="1:9" ht="15.75">
      <c r="A1" s="664" t="s">
        <v>214</v>
      </c>
      <c r="B1" s="664"/>
      <c r="C1" s="664"/>
      <c r="D1" s="664"/>
      <c r="E1" s="664"/>
      <c r="F1" s="664"/>
      <c r="G1" s="305"/>
      <c r="H1" s="305"/>
      <c r="I1" s="305"/>
    </row>
    <row r="2" spans="1:9">
      <c r="A2" s="310"/>
      <c r="B2" s="310"/>
      <c r="C2" s="668" t="s">
        <v>195</v>
      </c>
      <c r="D2" s="668"/>
      <c r="E2" s="668"/>
      <c r="F2" s="305"/>
      <c r="G2" s="305"/>
      <c r="H2" s="305"/>
      <c r="I2" s="305"/>
    </row>
    <row r="3" spans="1:9" ht="15.75" thickBot="1">
      <c r="A3" s="310"/>
      <c r="B3" s="310"/>
      <c r="C3" s="324" t="s">
        <v>196</v>
      </c>
      <c r="D3" s="324" t="s">
        <v>197</v>
      </c>
      <c r="E3" s="324" t="s">
        <v>198</v>
      </c>
      <c r="F3" s="305"/>
      <c r="G3" s="305"/>
      <c r="H3" s="305"/>
      <c r="I3" s="305"/>
    </row>
    <row r="4" spans="1:9">
      <c r="A4" s="325" t="s">
        <v>199</v>
      </c>
      <c r="B4" s="326" t="s">
        <v>72</v>
      </c>
      <c r="C4" s="327">
        <v>4</v>
      </c>
      <c r="D4" s="327">
        <v>3.5</v>
      </c>
      <c r="E4" s="327">
        <v>3</v>
      </c>
      <c r="F4" s="328" t="s">
        <v>204</v>
      </c>
      <c r="G4" s="305"/>
      <c r="H4" s="671" t="s">
        <v>200</v>
      </c>
      <c r="I4" s="672"/>
    </row>
    <row r="5" spans="1:9">
      <c r="A5" s="329">
        <v>41000</v>
      </c>
      <c r="B5" s="311">
        <v>121398</v>
      </c>
      <c r="C5" s="312">
        <v>4000</v>
      </c>
      <c r="D5" s="311">
        <v>748.93</v>
      </c>
      <c r="E5" s="312">
        <v>0</v>
      </c>
      <c r="F5" s="330">
        <v>4748.93</v>
      </c>
      <c r="G5" s="305"/>
      <c r="H5" s="673" t="s">
        <v>201</v>
      </c>
      <c r="I5" s="674"/>
    </row>
    <row r="6" spans="1:9">
      <c r="A6" s="329">
        <v>41030</v>
      </c>
      <c r="B6" s="311">
        <v>205299</v>
      </c>
      <c r="C6" s="312">
        <v>4000</v>
      </c>
      <c r="D6" s="311">
        <v>3500</v>
      </c>
      <c r="E6" s="312">
        <v>159</v>
      </c>
      <c r="F6" s="330">
        <v>7659</v>
      </c>
      <c r="G6" s="305"/>
      <c r="H6" s="331"/>
      <c r="I6" s="332"/>
    </row>
    <row r="7" spans="1:9">
      <c r="A7" s="329">
        <v>41061</v>
      </c>
      <c r="B7" s="311">
        <v>230882</v>
      </c>
      <c r="C7" s="312">
        <v>4000</v>
      </c>
      <c r="D7" s="311">
        <v>3500</v>
      </c>
      <c r="E7" s="312">
        <v>926</v>
      </c>
      <c r="F7" s="330">
        <v>8426</v>
      </c>
      <c r="G7" s="305"/>
      <c r="H7" s="380">
        <v>41547</v>
      </c>
      <c r="I7" s="383">
        <v>10000</v>
      </c>
    </row>
    <row r="8" spans="1:9">
      <c r="A8" s="329">
        <v>41091</v>
      </c>
      <c r="B8" s="311">
        <v>200850</v>
      </c>
      <c r="C8" s="312">
        <v>4000</v>
      </c>
      <c r="D8" s="311">
        <v>3500</v>
      </c>
      <c r="E8" s="312">
        <v>25</v>
      </c>
      <c r="F8" s="330">
        <v>7525</v>
      </c>
      <c r="G8" s="305"/>
      <c r="H8" s="380">
        <v>41578</v>
      </c>
      <c r="I8" s="383">
        <v>10000</v>
      </c>
    </row>
    <row r="9" spans="1:9">
      <c r="A9" s="329">
        <v>41122</v>
      </c>
      <c r="B9" s="311">
        <v>245506</v>
      </c>
      <c r="C9" s="312">
        <v>4000</v>
      </c>
      <c r="D9" s="311">
        <v>3500</v>
      </c>
      <c r="E9" s="312">
        <v>1365</v>
      </c>
      <c r="F9" s="330">
        <v>8865</v>
      </c>
      <c r="G9" s="305"/>
      <c r="H9" s="380">
        <v>41608</v>
      </c>
      <c r="I9" s="383">
        <v>10000</v>
      </c>
    </row>
    <row r="10" spans="1:9">
      <c r="A10" s="329">
        <v>41153</v>
      </c>
      <c r="B10" s="311">
        <v>141535</v>
      </c>
      <c r="C10" s="312">
        <v>4000</v>
      </c>
      <c r="D10" s="311">
        <v>1453</v>
      </c>
      <c r="E10" s="312">
        <v>0</v>
      </c>
      <c r="F10" s="330">
        <v>5453</v>
      </c>
      <c r="G10" s="305"/>
      <c r="H10" s="380">
        <v>41639</v>
      </c>
      <c r="I10" s="383">
        <v>10000</v>
      </c>
    </row>
    <row r="11" spans="1:9">
      <c r="A11" s="329">
        <v>41183</v>
      </c>
      <c r="B11" s="311">
        <v>265739</v>
      </c>
      <c r="C11" s="312">
        <v>4000</v>
      </c>
      <c r="D11" s="311">
        <v>3500</v>
      </c>
      <c r="E11" s="312">
        <v>1972</v>
      </c>
      <c r="F11" s="330">
        <v>9472</v>
      </c>
      <c r="G11" s="305"/>
      <c r="H11" s="380">
        <v>41670</v>
      </c>
      <c r="I11" s="383">
        <v>10000</v>
      </c>
    </row>
    <row r="12" spans="1:9">
      <c r="A12" s="329">
        <v>41214</v>
      </c>
      <c r="B12" s="311">
        <v>127017</v>
      </c>
      <c r="C12" s="312">
        <v>4000</v>
      </c>
      <c r="D12" s="311">
        <v>945</v>
      </c>
      <c r="E12" s="312">
        <v>0</v>
      </c>
      <c r="F12" s="330">
        <v>4945</v>
      </c>
      <c r="G12" s="305"/>
      <c r="H12" s="380">
        <v>41698</v>
      </c>
      <c r="I12" s="383">
        <v>10000</v>
      </c>
    </row>
    <row r="13" spans="1:9">
      <c r="A13" s="329">
        <v>41244</v>
      </c>
      <c r="B13" s="311">
        <v>226996</v>
      </c>
      <c r="C13" s="312">
        <v>4000</v>
      </c>
      <c r="D13" s="311">
        <v>3500</v>
      </c>
      <c r="E13" s="312">
        <v>810</v>
      </c>
      <c r="F13" s="330">
        <v>8310</v>
      </c>
      <c r="G13" s="305"/>
      <c r="H13" s="380">
        <v>41729</v>
      </c>
      <c r="I13" s="383">
        <v>5404</v>
      </c>
    </row>
    <row r="14" spans="1:9" ht="15.75" thickBot="1">
      <c r="A14" s="675" t="s">
        <v>215</v>
      </c>
      <c r="B14" s="676"/>
      <c r="C14" s="676"/>
      <c r="D14" s="676"/>
      <c r="E14" s="677"/>
      <c r="F14" s="333">
        <f>SUM(F5:F13)</f>
        <v>65403.93</v>
      </c>
      <c r="G14" s="305"/>
      <c r="H14" s="334" t="s">
        <v>173</v>
      </c>
      <c r="I14" s="335">
        <v>65404</v>
      </c>
    </row>
    <row r="15" spans="1:9" ht="15.75" thickBot="1">
      <c r="A15" s="336"/>
      <c r="B15" s="337"/>
      <c r="C15" s="338"/>
      <c r="D15" s="337"/>
      <c r="E15" s="338"/>
      <c r="F15" s="339"/>
      <c r="G15" s="305"/>
      <c r="H15" s="305"/>
      <c r="I15" s="323"/>
    </row>
    <row r="16" spans="1:9">
      <c r="A16" s="665" t="s">
        <v>216</v>
      </c>
      <c r="B16" s="666"/>
      <c r="C16" s="666"/>
      <c r="D16" s="666"/>
      <c r="E16" s="666"/>
      <c r="F16" s="667"/>
      <c r="G16" s="305"/>
      <c r="H16" s="669" t="s">
        <v>217</v>
      </c>
      <c r="I16" s="670"/>
    </row>
    <row r="17" spans="1:9">
      <c r="A17" s="359" t="s">
        <v>199</v>
      </c>
      <c r="B17" s="361" t="s">
        <v>72</v>
      </c>
      <c r="C17" s="362">
        <v>0.04</v>
      </c>
      <c r="D17" s="363">
        <v>3.5000000000000003E-2</v>
      </c>
      <c r="E17" s="362">
        <v>0.03</v>
      </c>
      <c r="F17" s="360" t="s">
        <v>2</v>
      </c>
      <c r="G17" s="305"/>
      <c r="H17" s="356"/>
      <c r="I17" s="357"/>
    </row>
    <row r="18" spans="1:9">
      <c r="A18" s="329">
        <v>41275</v>
      </c>
      <c r="B18" s="311">
        <v>252991</v>
      </c>
      <c r="C18" s="312">
        <v>4000</v>
      </c>
      <c r="D18" s="311">
        <v>3500</v>
      </c>
      <c r="E18" s="313">
        <v>1589.73</v>
      </c>
      <c r="F18" s="330">
        <v>9089.73</v>
      </c>
      <c r="G18" s="305"/>
      <c r="H18" s="340"/>
      <c r="I18" s="341"/>
    </row>
    <row r="19" spans="1:9">
      <c r="A19" s="329">
        <v>41306</v>
      </c>
      <c r="B19" s="311">
        <v>186701</v>
      </c>
      <c r="C19" s="312">
        <v>4000</v>
      </c>
      <c r="D19" s="311">
        <v>3034.5350000000003</v>
      </c>
      <c r="E19" s="312">
        <v>0</v>
      </c>
      <c r="F19" s="330">
        <v>7034.5349999999999</v>
      </c>
      <c r="G19" s="305"/>
      <c r="H19" s="342" t="s">
        <v>203</v>
      </c>
      <c r="I19" s="343" t="s">
        <v>202</v>
      </c>
    </row>
    <row r="20" spans="1:9">
      <c r="A20" s="329">
        <v>41334</v>
      </c>
      <c r="B20" s="311">
        <v>154950</v>
      </c>
      <c r="C20" s="312">
        <v>4000</v>
      </c>
      <c r="D20" s="311">
        <v>1923.2500000000002</v>
      </c>
      <c r="E20" s="312">
        <v>0</v>
      </c>
      <c r="F20" s="330">
        <v>5923.25</v>
      </c>
      <c r="G20" s="305"/>
      <c r="H20" s="380">
        <v>41759</v>
      </c>
      <c r="I20" s="381">
        <v>10000</v>
      </c>
    </row>
    <row r="21" spans="1:9">
      <c r="A21" s="344">
        <v>41365</v>
      </c>
      <c r="B21" s="311">
        <v>165611.13</v>
      </c>
      <c r="C21" s="312">
        <v>4000</v>
      </c>
      <c r="D21" s="311">
        <v>2296.3895500000003</v>
      </c>
      <c r="E21" s="313"/>
      <c r="F21" s="330">
        <v>6296.3895499999999</v>
      </c>
      <c r="G21" s="305"/>
      <c r="H21" s="380">
        <v>41790</v>
      </c>
      <c r="I21" s="381">
        <v>10000</v>
      </c>
    </row>
    <row r="22" spans="1:9">
      <c r="A22" s="344">
        <v>41395</v>
      </c>
      <c r="B22" s="311">
        <v>229535.3</v>
      </c>
      <c r="C22" s="312">
        <v>4000</v>
      </c>
      <c r="D22" s="311">
        <v>3500</v>
      </c>
      <c r="E22" s="313">
        <v>886.05899999999963</v>
      </c>
      <c r="F22" s="330">
        <v>8386.0589999999993</v>
      </c>
      <c r="G22" s="305"/>
      <c r="H22" s="382">
        <v>41820</v>
      </c>
      <c r="I22" s="381">
        <v>10000</v>
      </c>
    </row>
    <row r="23" spans="1:9">
      <c r="A23" s="344">
        <v>41426</v>
      </c>
      <c r="B23" s="311">
        <v>200653.09</v>
      </c>
      <c r="C23" s="312">
        <v>4000</v>
      </c>
      <c r="D23" s="311">
        <v>3500</v>
      </c>
      <c r="E23" s="313">
        <v>19.592699999999894</v>
      </c>
      <c r="F23" s="330">
        <v>7519.5927000000001</v>
      </c>
      <c r="G23" s="305"/>
      <c r="H23" s="380">
        <v>41851</v>
      </c>
      <c r="I23" s="392">
        <v>10000</v>
      </c>
    </row>
    <row r="24" spans="1:9">
      <c r="A24" s="344">
        <v>41456</v>
      </c>
      <c r="B24" s="311">
        <v>230868.02</v>
      </c>
      <c r="C24" s="312">
        <v>4000</v>
      </c>
      <c r="D24" s="311">
        <v>3500</v>
      </c>
      <c r="E24" s="313">
        <v>926.0405999999997</v>
      </c>
      <c r="F24" s="330">
        <v>8426.0406000000003</v>
      </c>
      <c r="G24" s="305"/>
      <c r="H24" s="393">
        <v>41882</v>
      </c>
      <c r="I24" s="394">
        <v>5011.0248000000138</v>
      </c>
    </row>
    <row r="25" spans="1:9" ht="15.75" thickBot="1">
      <c r="A25" s="344">
        <v>41487</v>
      </c>
      <c r="B25" s="314">
        <v>178547.20000000001</v>
      </c>
      <c r="C25" s="312">
        <v>4000</v>
      </c>
      <c r="D25" s="311">
        <v>2749.1520000000005</v>
      </c>
      <c r="E25" s="312">
        <v>0</v>
      </c>
      <c r="F25" s="330">
        <v>6749.152</v>
      </c>
      <c r="G25" s="305"/>
      <c r="H25" s="345" t="s">
        <v>173</v>
      </c>
      <c r="I25" s="346">
        <v>45011.024800000014</v>
      </c>
    </row>
    <row r="26" spans="1:9">
      <c r="A26" s="344">
        <v>41518</v>
      </c>
      <c r="B26" s="314">
        <v>132193.01</v>
      </c>
      <c r="C26" s="312">
        <v>4000</v>
      </c>
      <c r="D26" s="311">
        <v>1126.7553500000004</v>
      </c>
      <c r="E26" s="312">
        <v>0</v>
      </c>
      <c r="F26" s="330">
        <v>5126.7553500000004</v>
      </c>
      <c r="G26" s="305"/>
      <c r="H26" s="308"/>
      <c r="I26" s="347"/>
    </row>
    <row r="27" spans="1:9">
      <c r="A27" s="358">
        <v>41548</v>
      </c>
      <c r="B27" s="314">
        <v>202554.37</v>
      </c>
      <c r="C27" s="312">
        <v>4000</v>
      </c>
      <c r="D27" s="311">
        <v>3500</v>
      </c>
      <c r="E27" s="313">
        <v>76.631099999999861</v>
      </c>
      <c r="F27" s="330">
        <v>7576.6310999999996</v>
      </c>
      <c r="G27" s="305"/>
      <c r="H27" s="305"/>
      <c r="I27" s="305"/>
    </row>
    <row r="28" spans="1:9">
      <c r="A28" s="358">
        <v>41579</v>
      </c>
      <c r="B28" s="314">
        <v>153396</v>
      </c>
      <c r="C28" s="312">
        <v>4000</v>
      </c>
      <c r="D28" s="311">
        <v>1868.8600000000001</v>
      </c>
      <c r="E28" s="317"/>
      <c r="F28" s="330">
        <v>5868.8600000000006</v>
      </c>
      <c r="G28" s="305"/>
      <c r="H28" s="305"/>
      <c r="I28" s="305"/>
    </row>
    <row r="29" spans="1:9">
      <c r="A29" s="365">
        <v>41609</v>
      </c>
      <c r="B29" s="314">
        <v>250467.65</v>
      </c>
      <c r="C29" s="312">
        <v>4000</v>
      </c>
      <c r="D29" s="311">
        <v>3500</v>
      </c>
      <c r="E29" s="313">
        <v>1514.0294999999999</v>
      </c>
      <c r="F29" s="330">
        <v>9014.0295000000006</v>
      </c>
      <c r="G29" s="305"/>
      <c r="H29" s="305"/>
      <c r="I29" s="309"/>
    </row>
    <row r="30" spans="1:9">
      <c r="A30" s="348" t="s">
        <v>204</v>
      </c>
      <c r="B30" s="364">
        <f>SUM(B18:B29)</f>
        <v>2338467.77</v>
      </c>
      <c r="C30" s="315"/>
      <c r="D30" s="316"/>
      <c r="E30" s="317"/>
      <c r="F30" s="349">
        <f>SUM(F18:F29)</f>
        <v>87011.024800000014</v>
      </c>
      <c r="G30" s="305"/>
      <c r="H30" s="305"/>
      <c r="I30" s="305"/>
    </row>
    <row r="31" spans="1:9">
      <c r="A31" s="350" t="s">
        <v>218</v>
      </c>
      <c r="B31" s="318"/>
      <c r="C31" s="319"/>
      <c r="D31" s="320"/>
      <c r="E31" s="321"/>
      <c r="F31" s="351">
        <v>-42000</v>
      </c>
      <c r="G31" s="305"/>
      <c r="H31" s="305"/>
      <c r="I31" s="305"/>
    </row>
    <row r="32" spans="1:9" ht="15.75" thickBot="1">
      <c r="A32" s="352" t="s">
        <v>222</v>
      </c>
      <c r="B32" s="353"/>
      <c r="C32" s="354"/>
      <c r="D32" s="354"/>
      <c r="E32" s="354"/>
      <c r="F32" s="355">
        <v>45011.024800000014</v>
      </c>
      <c r="G32" s="305"/>
      <c r="H32" s="305"/>
      <c r="I32" s="305"/>
    </row>
    <row r="33" spans="1:9">
      <c r="A33" s="322"/>
      <c r="B33" s="309"/>
      <c r="C33" s="305"/>
      <c r="D33" s="305"/>
      <c r="E33" s="305"/>
      <c r="F33" s="306"/>
    </row>
    <row r="34" spans="1:9">
      <c r="A34" s="307" t="s">
        <v>219</v>
      </c>
      <c r="B34" s="309"/>
      <c r="C34" s="305"/>
      <c r="D34" s="305"/>
      <c r="E34" s="305"/>
      <c r="F34" s="306"/>
    </row>
    <row r="36" spans="1:9" ht="15.75">
      <c r="A36" s="664" t="s">
        <v>214</v>
      </c>
      <c r="B36" s="664"/>
      <c r="C36" s="664"/>
      <c r="D36" s="664"/>
      <c r="E36" s="664"/>
      <c r="F36" s="664"/>
      <c r="G36" s="664"/>
    </row>
    <row r="37" spans="1:9">
      <c r="A37" s="310"/>
      <c r="B37" s="310"/>
      <c r="C37" s="668" t="s">
        <v>195</v>
      </c>
      <c r="D37" s="668"/>
      <c r="E37" s="668"/>
      <c r="F37" s="389"/>
      <c r="G37" s="305"/>
    </row>
    <row r="38" spans="1:9">
      <c r="A38" s="313"/>
      <c r="B38" s="313"/>
      <c r="C38" s="388" t="s">
        <v>196</v>
      </c>
      <c r="D38" s="388" t="s">
        <v>197</v>
      </c>
      <c r="E38" s="388" t="s">
        <v>198</v>
      </c>
      <c r="F38" s="388" t="s">
        <v>223</v>
      </c>
      <c r="G38" s="75"/>
    </row>
    <row r="39" spans="1:9">
      <c r="A39" s="678" t="s">
        <v>221</v>
      </c>
      <c r="B39" s="678"/>
      <c r="C39" s="678"/>
      <c r="D39" s="678"/>
      <c r="E39" s="678"/>
      <c r="F39" s="678"/>
      <c r="G39" s="678"/>
    </row>
    <row r="40" spans="1:9">
      <c r="A40" s="359" t="s">
        <v>199</v>
      </c>
      <c r="B40" s="375" t="s">
        <v>72</v>
      </c>
      <c r="C40" s="362">
        <v>0.04</v>
      </c>
      <c r="D40" s="363">
        <v>3.5000000000000003E-2</v>
      </c>
      <c r="E40" s="362">
        <v>0.03</v>
      </c>
      <c r="F40" s="387">
        <v>2.5000000000000001E-2</v>
      </c>
      <c r="G40" s="360" t="s">
        <v>2</v>
      </c>
    </row>
    <row r="41" spans="1:9">
      <c r="A41" s="395">
        <v>41640</v>
      </c>
      <c r="B41" s="396">
        <v>256262.1</v>
      </c>
      <c r="C41" s="397">
        <v>4000</v>
      </c>
      <c r="D41" s="398">
        <v>3500</v>
      </c>
      <c r="E41" s="399">
        <v>1687.8630000000001</v>
      </c>
      <c r="F41" s="400"/>
      <c r="G41" s="407">
        <f>C41+D41+E41</f>
        <v>9187.8629999999994</v>
      </c>
    </row>
    <row r="42" spans="1:9">
      <c r="A42" s="395">
        <v>41671</v>
      </c>
      <c r="B42" s="396">
        <v>164192.1</v>
      </c>
      <c r="C42" s="397">
        <v>4000</v>
      </c>
      <c r="D42" s="398">
        <v>2246.7235000000001</v>
      </c>
      <c r="E42" s="401">
        <v>0</v>
      </c>
      <c r="F42" s="402"/>
      <c r="G42" s="407">
        <f t="shared" ref="G42:G52" si="0">C42+D42+E42</f>
        <v>6246.7235000000001</v>
      </c>
    </row>
    <row r="43" spans="1:9">
      <c r="A43" s="395">
        <v>41699</v>
      </c>
      <c r="B43" s="396">
        <v>135550</v>
      </c>
      <c r="C43" s="397">
        <v>4000</v>
      </c>
      <c r="D43" s="398">
        <v>1244.25</v>
      </c>
      <c r="E43" s="401">
        <v>0</v>
      </c>
      <c r="F43" s="402"/>
      <c r="G43" s="407">
        <f t="shared" si="0"/>
        <v>5244.25</v>
      </c>
    </row>
    <row r="44" spans="1:9">
      <c r="A44" s="395">
        <v>41730</v>
      </c>
      <c r="B44" s="396">
        <v>179782.37</v>
      </c>
      <c r="C44" s="397">
        <v>4000</v>
      </c>
      <c r="D44" s="398">
        <v>2792.3829999999998</v>
      </c>
      <c r="E44" s="399">
        <v>0</v>
      </c>
      <c r="F44" s="400"/>
      <c r="G44" s="407">
        <f t="shared" si="0"/>
        <v>6792.3829999999998</v>
      </c>
    </row>
    <row r="45" spans="1:9">
      <c r="A45" s="395">
        <v>41760</v>
      </c>
      <c r="B45" s="403">
        <v>223200.58</v>
      </c>
      <c r="C45" s="397">
        <v>4000</v>
      </c>
      <c r="D45" s="398">
        <v>3500</v>
      </c>
      <c r="E45" s="399">
        <f>23200.58*3%</f>
        <v>696.01740000000007</v>
      </c>
      <c r="F45" s="404"/>
      <c r="G45" s="407">
        <f t="shared" si="0"/>
        <v>8196.0174000000006</v>
      </c>
    </row>
    <row r="46" spans="1:9">
      <c r="A46" s="405">
        <v>41791</v>
      </c>
      <c r="B46" s="403">
        <v>216911.57</v>
      </c>
      <c r="C46" s="406">
        <v>4000</v>
      </c>
      <c r="D46" s="398">
        <v>3500</v>
      </c>
      <c r="E46" s="399">
        <f>16911.57*3%</f>
        <v>507.34709999999995</v>
      </c>
      <c r="F46" s="404"/>
      <c r="G46" s="407">
        <f t="shared" si="0"/>
        <v>8007.3471</v>
      </c>
      <c r="H46" s="64">
        <f>SUM(G41:G46)</f>
        <v>43674.584000000003</v>
      </c>
      <c r="I46" s="307" t="s">
        <v>224</v>
      </c>
    </row>
    <row r="47" spans="1:9">
      <c r="A47" s="405">
        <v>41821</v>
      </c>
      <c r="B47" s="403">
        <v>309261.44</v>
      </c>
      <c r="C47" s="406">
        <v>4000</v>
      </c>
      <c r="D47" s="398">
        <v>3500</v>
      </c>
      <c r="E47" s="399">
        <v>3000</v>
      </c>
      <c r="F47" s="404">
        <f>9261.44*2.5%</f>
        <v>231.53600000000003</v>
      </c>
      <c r="G47" s="407">
        <f>C47+D47+E47+F47</f>
        <v>10731.536</v>
      </c>
    </row>
    <row r="48" spans="1:9">
      <c r="A48" s="329">
        <v>41852</v>
      </c>
      <c r="B48" s="390">
        <v>130232.99</v>
      </c>
      <c r="C48" s="312">
        <v>4000</v>
      </c>
      <c r="D48" s="311">
        <v>1058.155</v>
      </c>
      <c r="E48" s="312">
        <v>0</v>
      </c>
      <c r="F48" s="385">
        <v>0</v>
      </c>
      <c r="G48" s="330">
        <f>C48+D48+E48+F48</f>
        <v>5058.1549999999997</v>
      </c>
    </row>
    <row r="49" spans="1:7">
      <c r="A49" s="329">
        <v>41883</v>
      </c>
      <c r="B49" s="390">
        <v>205524.16</v>
      </c>
      <c r="C49" s="312">
        <v>4000</v>
      </c>
      <c r="D49" s="311">
        <v>3500</v>
      </c>
      <c r="E49" s="312">
        <f>5524.16*3%</f>
        <v>165.72479999999999</v>
      </c>
      <c r="F49" s="385"/>
      <c r="G49" s="408">
        <f t="shared" si="0"/>
        <v>7665.7248</v>
      </c>
    </row>
    <row r="50" spans="1:7">
      <c r="A50" s="329">
        <v>41913</v>
      </c>
      <c r="B50" s="390"/>
      <c r="C50" s="312"/>
      <c r="D50" s="311"/>
      <c r="E50" s="313"/>
      <c r="F50" s="384"/>
      <c r="G50" s="330">
        <f t="shared" si="0"/>
        <v>0</v>
      </c>
    </row>
    <row r="51" spans="1:7">
      <c r="A51" s="329">
        <v>41944</v>
      </c>
      <c r="B51" s="390"/>
      <c r="C51" s="312"/>
      <c r="D51" s="311"/>
      <c r="E51" s="317"/>
      <c r="F51" s="317"/>
      <c r="G51" s="330">
        <f t="shared" si="0"/>
        <v>0</v>
      </c>
    </row>
    <row r="52" spans="1:7" ht="15.75" thickBot="1">
      <c r="A52" s="329">
        <v>41974</v>
      </c>
      <c r="B52" s="391"/>
      <c r="C52" s="366"/>
      <c r="D52" s="367"/>
      <c r="E52" s="368"/>
      <c r="F52" s="386"/>
      <c r="G52" s="330">
        <f t="shared" si="0"/>
        <v>0</v>
      </c>
    </row>
    <row r="53" spans="1:7" ht="15.75" thickBot="1">
      <c r="A53" s="369" t="s">
        <v>204</v>
      </c>
      <c r="B53" s="370">
        <f>SUM(B41:B52)</f>
        <v>1820917.3099999998</v>
      </c>
      <c r="C53" s="371"/>
      <c r="D53" s="372"/>
      <c r="E53" s="373"/>
      <c r="F53" s="373"/>
      <c r="G53" s="374">
        <f>SUM(G41:G52)</f>
        <v>67129.999800000005</v>
      </c>
    </row>
    <row r="55" spans="1:7" ht="15.75">
      <c r="A55" s="664" t="s">
        <v>214</v>
      </c>
      <c r="B55" s="664"/>
      <c r="C55" s="664"/>
      <c r="D55" s="664"/>
      <c r="E55" s="664"/>
      <c r="F55" s="664"/>
      <c r="G55" s="664"/>
    </row>
    <row r="56" spans="1:7">
      <c r="A56" s="310"/>
      <c r="B56" s="310"/>
      <c r="C56" s="668" t="s">
        <v>195</v>
      </c>
      <c r="D56" s="668"/>
      <c r="E56" s="668"/>
      <c r="F56" s="412"/>
      <c r="G56" s="305"/>
    </row>
    <row r="57" spans="1:7">
      <c r="A57" s="313"/>
      <c r="B57" s="313"/>
      <c r="C57" s="388" t="s">
        <v>196</v>
      </c>
      <c r="D57" s="388" t="s">
        <v>197</v>
      </c>
      <c r="E57" s="388" t="s">
        <v>198</v>
      </c>
      <c r="F57" s="388" t="s">
        <v>223</v>
      </c>
      <c r="G57" s="75"/>
    </row>
    <row r="58" spans="1:7">
      <c r="A58" s="678" t="s">
        <v>221</v>
      </c>
      <c r="B58" s="678"/>
      <c r="C58" s="678"/>
      <c r="D58" s="678"/>
      <c r="E58" s="678"/>
      <c r="F58" s="678"/>
      <c r="G58" s="678"/>
    </row>
    <row r="59" spans="1:7">
      <c r="A59" s="359" t="s">
        <v>199</v>
      </c>
      <c r="B59" s="375" t="s">
        <v>72</v>
      </c>
      <c r="C59" s="362">
        <v>0.04</v>
      </c>
      <c r="D59" s="363">
        <v>3.5000000000000003E-2</v>
      </c>
      <c r="E59" s="362">
        <v>0.03</v>
      </c>
      <c r="F59" s="387">
        <v>2.5000000000000001E-2</v>
      </c>
      <c r="G59" s="360" t="s">
        <v>2</v>
      </c>
    </row>
    <row r="60" spans="1:7">
      <c r="A60" s="413">
        <v>42005</v>
      </c>
      <c r="B60" s="414">
        <v>265626.58</v>
      </c>
      <c r="C60" s="415">
        <v>4000</v>
      </c>
      <c r="D60" s="416">
        <v>3500</v>
      </c>
      <c r="E60" s="417">
        <v>1968.797</v>
      </c>
      <c r="F60" s="418"/>
      <c r="G60" s="419">
        <f t="shared" ref="G60:G65" si="1">C60+D60+E60</f>
        <v>9468.7970000000005</v>
      </c>
    </row>
    <row r="61" spans="1:7">
      <c r="A61" s="413">
        <v>42036</v>
      </c>
      <c r="B61" s="414">
        <v>144424.42000000001</v>
      </c>
      <c r="C61" s="415">
        <v>4000</v>
      </c>
      <c r="D61" s="416">
        <v>1554.855</v>
      </c>
      <c r="E61" s="420">
        <v>0</v>
      </c>
      <c r="F61" s="421">
        <v>0</v>
      </c>
      <c r="G61" s="426">
        <f t="shared" si="1"/>
        <v>5554.8549999999996</v>
      </c>
    </row>
    <row r="62" spans="1:7">
      <c r="A62" s="413">
        <v>42064</v>
      </c>
      <c r="B62" s="414">
        <v>195432.21</v>
      </c>
      <c r="C62" s="415">
        <v>4000</v>
      </c>
      <c r="D62" s="416">
        <v>3340.127</v>
      </c>
      <c r="E62" s="420"/>
      <c r="F62" s="421"/>
      <c r="G62" s="419">
        <f t="shared" si="1"/>
        <v>7340.1270000000004</v>
      </c>
    </row>
    <row r="63" spans="1:7">
      <c r="A63" s="413">
        <v>42095</v>
      </c>
      <c r="B63" s="414">
        <v>180836.2</v>
      </c>
      <c r="C63" s="415">
        <v>4000</v>
      </c>
      <c r="D63" s="416">
        <v>2829.2669999999998</v>
      </c>
      <c r="E63" s="417"/>
      <c r="F63" s="418"/>
      <c r="G63" s="419">
        <f t="shared" si="1"/>
        <v>6829.2669999999998</v>
      </c>
    </row>
    <row r="64" spans="1:7">
      <c r="A64" s="413">
        <v>42125</v>
      </c>
      <c r="B64" s="433">
        <v>169966.5</v>
      </c>
      <c r="C64" s="415">
        <v>4000</v>
      </c>
      <c r="D64" s="416">
        <v>2448.828</v>
      </c>
      <c r="E64" s="417"/>
      <c r="F64" s="423"/>
      <c r="G64" s="419">
        <f t="shared" si="1"/>
        <v>6448.8279999999995</v>
      </c>
    </row>
    <row r="65" spans="1:7">
      <c r="A65" s="413">
        <v>42156</v>
      </c>
      <c r="B65" s="422">
        <v>166525.51999999999</v>
      </c>
      <c r="C65" s="424">
        <v>4000</v>
      </c>
      <c r="D65" s="416">
        <f>66525.52*3.5%</f>
        <v>2328.3932000000004</v>
      </c>
      <c r="E65" s="417"/>
      <c r="F65" s="423"/>
      <c r="G65" s="419">
        <f t="shared" si="1"/>
        <v>6328.3932000000004</v>
      </c>
    </row>
    <row r="66" spans="1:7">
      <c r="A66" s="413">
        <v>42186</v>
      </c>
      <c r="B66" s="422">
        <v>209435.6</v>
      </c>
      <c r="C66" s="424">
        <v>4000</v>
      </c>
      <c r="D66" s="416">
        <v>3500</v>
      </c>
      <c r="E66" s="417">
        <f>9435.6*3%</f>
        <v>283.06799999999998</v>
      </c>
      <c r="F66" s="423"/>
      <c r="G66" s="419">
        <f>C66+D66+E66+F66</f>
        <v>7783.0680000000002</v>
      </c>
    </row>
    <row r="67" spans="1:7">
      <c r="A67" s="413">
        <v>42217</v>
      </c>
      <c r="B67" s="425">
        <v>97429.91</v>
      </c>
      <c r="C67" s="424">
        <f>B67*4%</f>
        <v>3897.1964000000003</v>
      </c>
      <c r="D67" s="416">
        <v>0</v>
      </c>
      <c r="E67" s="424">
        <v>0</v>
      </c>
      <c r="F67" s="421">
        <v>0</v>
      </c>
      <c r="G67" s="419">
        <f>C67+D67+E67+F67</f>
        <v>3897.1964000000003</v>
      </c>
    </row>
    <row r="68" spans="1:7" ht="15.75" thickBot="1">
      <c r="A68" s="413">
        <v>42248</v>
      </c>
      <c r="B68" s="473">
        <v>221768.03</v>
      </c>
      <c r="C68" s="424">
        <v>4000</v>
      </c>
      <c r="D68" s="416">
        <v>3500</v>
      </c>
      <c r="E68" s="424">
        <f>21768.03*3%</f>
        <v>653.04089999999997</v>
      </c>
      <c r="F68" s="421"/>
      <c r="G68" s="426">
        <f>C68+D68+E68</f>
        <v>8153.0409</v>
      </c>
    </row>
    <row r="69" spans="1:7" ht="15.75" thickTop="1">
      <c r="A69" s="413">
        <v>42278</v>
      </c>
      <c r="B69" s="425"/>
      <c r="C69" s="424"/>
      <c r="D69" s="416"/>
      <c r="E69" s="427"/>
      <c r="F69" s="418"/>
      <c r="G69" s="419">
        <f>C69+D69+E69</f>
        <v>0</v>
      </c>
    </row>
    <row r="70" spans="1:7">
      <c r="A70" s="413">
        <v>42309</v>
      </c>
      <c r="B70" s="425"/>
      <c r="C70" s="424"/>
      <c r="D70" s="416"/>
      <c r="E70" s="427"/>
      <c r="F70" s="427"/>
      <c r="G70" s="419">
        <f>C70+D70+E70</f>
        <v>0</v>
      </c>
    </row>
    <row r="71" spans="1:7" ht="15.75" thickBot="1">
      <c r="A71" s="413">
        <v>42339</v>
      </c>
      <c r="B71" s="428"/>
      <c r="C71" s="429"/>
      <c r="D71" s="430"/>
      <c r="E71" s="431"/>
      <c r="F71" s="432"/>
      <c r="G71" s="419">
        <f>C71+D71+E71</f>
        <v>0</v>
      </c>
    </row>
    <row r="72" spans="1:7" ht="15.75" thickBot="1">
      <c r="A72" s="369" t="s">
        <v>204</v>
      </c>
      <c r="B72" s="370">
        <f>SUM(B60:B71)</f>
        <v>1651444.97</v>
      </c>
      <c r="C72" s="371"/>
      <c r="D72" s="372"/>
      <c r="E72" s="373"/>
      <c r="F72" s="373"/>
      <c r="G72" s="374">
        <f>SUM(G60:G71)</f>
        <v>61803.572500000002</v>
      </c>
    </row>
  </sheetData>
  <mergeCells count="13">
    <mergeCell ref="C37:E37"/>
    <mergeCell ref="A39:G39"/>
    <mergeCell ref="A55:G55"/>
    <mergeCell ref="C56:E56"/>
    <mergeCell ref="A58:G58"/>
    <mergeCell ref="A1:F1"/>
    <mergeCell ref="A16:F16"/>
    <mergeCell ref="C2:E2"/>
    <mergeCell ref="H16:I16"/>
    <mergeCell ref="A36:G36"/>
    <mergeCell ref="H4:I4"/>
    <mergeCell ref="H5:I5"/>
    <mergeCell ref="A14:E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C16"/>
  <sheetViews>
    <sheetView workbookViewId="0">
      <selection activeCell="D77" sqref="D77"/>
    </sheetView>
  </sheetViews>
  <sheetFormatPr defaultRowHeight="15"/>
  <cols>
    <col min="2" max="2" width="22.28515625" customWidth="1"/>
    <col min="3" max="3" width="23.7109375" customWidth="1"/>
  </cols>
  <sheetData>
    <row r="3" spans="2:3">
      <c r="B3" s="679" t="s">
        <v>237</v>
      </c>
      <c r="C3" s="680"/>
    </row>
    <row r="4" spans="2:3">
      <c r="B4" s="679" t="s">
        <v>235</v>
      </c>
      <c r="C4" s="680"/>
    </row>
    <row r="5" spans="2:3">
      <c r="B5" s="470" t="s">
        <v>199</v>
      </c>
      <c r="C5" s="470" t="s">
        <v>72</v>
      </c>
    </row>
    <row r="6" spans="2:3">
      <c r="B6" s="471">
        <v>42005</v>
      </c>
      <c r="C6" s="414">
        <v>265626.58</v>
      </c>
    </row>
    <row r="7" spans="2:3">
      <c r="B7" s="471">
        <v>42036</v>
      </c>
      <c r="C7" s="414">
        <v>144424.42000000001</v>
      </c>
    </row>
    <row r="8" spans="2:3">
      <c r="B8" s="471">
        <v>42064</v>
      </c>
      <c r="C8" s="390">
        <v>195432.21</v>
      </c>
    </row>
    <row r="9" spans="2:3" s="305" customFormat="1">
      <c r="B9" s="471">
        <v>42095</v>
      </c>
      <c r="C9" s="390">
        <v>180836.2</v>
      </c>
    </row>
    <row r="10" spans="2:3" s="305" customFormat="1">
      <c r="B10" s="471">
        <v>42125</v>
      </c>
      <c r="C10" s="390">
        <v>169966.5</v>
      </c>
    </row>
    <row r="11" spans="2:3" s="305" customFormat="1">
      <c r="B11" s="471">
        <v>42156</v>
      </c>
      <c r="C11" s="390">
        <v>166525.51999999999</v>
      </c>
    </row>
    <row r="12" spans="2:3" s="305" customFormat="1">
      <c r="B12" s="471">
        <v>42186</v>
      </c>
      <c r="C12" s="390">
        <v>209435.6</v>
      </c>
    </row>
    <row r="13" spans="2:3" s="305" customFormat="1">
      <c r="B13" s="471">
        <v>42217</v>
      </c>
      <c r="C13" s="390">
        <v>97429.91</v>
      </c>
    </row>
    <row r="14" spans="2:3" s="305" customFormat="1">
      <c r="B14" s="471">
        <v>42248</v>
      </c>
      <c r="C14" s="390">
        <v>221768.03</v>
      </c>
    </row>
    <row r="15" spans="2:3" s="305" customFormat="1">
      <c r="B15" s="471"/>
      <c r="C15" s="390"/>
    </row>
    <row r="16" spans="2:3">
      <c r="B16" s="470" t="s">
        <v>173</v>
      </c>
      <c r="C16" s="472">
        <f>SUM(C6:C14)</f>
        <v>1651444.97</v>
      </c>
    </row>
  </sheetData>
  <mergeCells count="2">
    <mergeCell ref="B3:C3"/>
    <mergeCell ref="B4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L20"/>
  <sheetViews>
    <sheetView workbookViewId="0">
      <selection activeCell="K5" sqref="K5:L19"/>
    </sheetView>
  </sheetViews>
  <sheetFormatPr defaultRowHeight="15"/>
  <cols>
    <col min="1" max="1" width="11.28515625" customWidth="1"/>
    <col min="2" max="2" width="14.42578125" customWidth="1"/>
    <col min="3" max="3" width="12.42578125" customWidth="1"/>
    <col min="4" max="4" width="11.5703125" customWidth="1"/>
    <col min="5" max="5" width="11.85546875" customWidth="1"/>
    <col min="6" max="6" width="11.5703125" customWidth="1"/>
    <col min="7" max="7" width="16.140625" customWidth="1"/>
    <col min="11" max="11" width="20.140625" customWidth="1"/>
    <col min="12" max="12" width="21.85546875" customWidth="1"/>
  </cols>
  <sheetData>
    <row r="3" spans="1:12" ht="15.75">
      <c r="A3" s="664" t="s">
        <v>214</v>
      </c>
      <c r="B3" s="664"/>
      <c r="C3" s="664"/>
      <c r="D3" s="664"/>
      <c r="E3" s="664"/>
      <c r="F3" s="664"/>
      <c r="G3" s="664"/>
    </row>
    <row r="4" spans="1:12" ht="15.75" thickBot="1">
      <c r="A4" s="544"/>
      <c r="B4" s="544"/>
      <c r="C4" s="668" t="s">
        <v>195</v>
      </c>
      <c r="D4" s="668"/>
      <c r="E4" s="668"/>
      <c r="F4" s="546"/>
      <c r="G4" s="539"/>
    </row>
    <row r="5" spans="1:12">
      <c r="A5" s="545"/>
      <c r="B5" s="545"/>
      <c r="C5" s="561" t="s">
        <v>196</v>
      </c>
      <c r="D5" s="561" t="s">
        <v>197</v>
      </c>
      <c r="E5" s="561" t="s">
        <v>198</v>
      </c>
      <c r="F5" s="561" t="s">
        <v>223</v>
      </c>
      <c r="G5" s="542"/>
      <c r="K5" s="681" t="s">
        <v>237</v>
      </c>
      <c r="L5" s="682"/>
    </row>
    <row r="6" spans="1:12" ht="15.75" thickBot="1">
      <c r="A6" s="678" t="s">
        <v>221</v>
      </c>
      <c r="B6" s="678"/>
      <c r="C6" s="678"/>
      <c r="D6" s="678"/>
      <c r="E6" s="678"/>
      <c r="F6" s="678"/>
      <c r="G6" s="678"/>
      <c r="K6" s="683" t="s">
        <v>269</v>
      </c>
      <c r="L6" s="684"/>
    </row>
    <row r="7" spans="1:12">
      <c r="A7" s="547" t="s">
        <v>199</v>
      </c>
      <c r="B7" s="557" t="s">
        <v>72</v>
      </c>
      <c r="C7" s="549">
        <v>0.04</v>
      </c>
      <c r="D7" s="550">
        <v>3.5000000000000003E-2</v>
      </c>
      <c r="E7" s="549">
        <v>0.03</v>
      </c>
      <c r="F7" s="560">
        <v>2.5000000000000001E-2</v>
      </c>
      <c r="G7" s="548" t="s">
        <v>2</v>
      </c>
      <c r="K7" s="593">
        <v>42370</v>
      </c>
      <c r="L7" s="594">
        <v>121825.4</v>
      </c>
    </row>
    <row r="8" spans="1:12">
      <c r="A8" s="562">
        <v>42370</v>
      </c>
      <c r="B8" s="582">
        <v>121825.4</v>
      </c>
      <c r="C8" s="563">
        <v>4000</v>
      </c>
      <c r="D8" s="564">
        <f>(B8-100000)*3.5%</f>
        <v>763.8889999999999</v>
      </c>
      <c r="E8" s="565"/>
      <c r="F8" s="566"/>
      <c r="G8" s="567">
        <f>C8+D8+E8+F8</f>
        <v>4763.8890000000001</v>
      </c>
      <c r="H8">
        <v>4824</v>
      </c>
      <c r="K8" s="588">
        <v>42401</v>
      </c>
      <c r="L8" s="589">
        <v>87650.8</v>
      </c>
    </row>
    <row r="9" spans="1:12">
      <c r="A9" s="562">
        <v>42401</v>
      </c>
      <c r="B9" s="582">
        <v>87650.8</v>
      </c>
      <c r="C9" s="563">
        <v>3506.0320000000002</v>
      </c>
      <c r="D9" s="564">
        <v>0</v>
      </c>
      <c r="E9" s="568"/>
      <c r="F9" s="569"/>
      <c r="G9" s="573"/>
      <c r="H9">
        <v>4824</v>
      </c>
      <c r="K9" s="588">
        <v>42430</v>
      </c>
      <c r="L9" s="590">
        <v>144939.62</v>
      </c>
    </row>
    <row r="10" spans="1:12">
      <c r="A10" s="562">
        <v>42430</v>
      </c>
      <c r="B10" s="583">
        <v>144939.62</v>
      </c>
      <c r="C10" s="563">
        <v>4000</v>
      </c>
      <c r="D10" s="564">
        <f>(B10-100000)*3.5%</f>
        <v>1572.8867</v>
      </c>
      <c r="E10" s="568"/>
      <c r="F10" s="569"/>
      <c r="G10" s="567">
        <f>C10+D10</f>
        <v>5572.8867</v>
      </c>
      <c r="K10" s="588">
        <v>42461</v>
      </c>
      <c r="L10" s="590">
        <v>132280.34</v>
      </c>
    </row>
    <row r="11" spans="1:12">
      <c r="A11" s="562">
        <v>42461</v>
      </c>
      <c r="B11" s="583">
        <v>132280.34</v>
      </c>
      <c r="C11" s="563">
        <v>4000</v>
      </c>
      <c r="D11" s="564">
        <f>(B11-100000)*3.5%</f>
        <v>1129.8118999999999</v>
      </c>
      <c r="E11" s="565"/>
      <c r="F11" s="566"/>
      <c r="G11" s="567">
        <f>C11+D11</f>
        <v>5129.8118999999997</v>
      </c>
      <c r="K11" s="588">
        <v>42491</v>
      </c>
      <c r="L11" s="591">
        <v>125467.01</v>
      </c>
    </row>
    <row r="12" spans="1:12">
      <c r="A12" s="562">
        <v>42491</v>
      </c>
      <c r="B12" s="584">
        <v>125467.01</v>
      </c>
      <c r="C12" s="563">
        <v>4000</v>
      </c>
      <c r="D12" s="564">
        <f>(B12-100000)*3.5%</f>
        <v>891.34534999999994</v>
      </c>
      <c r="E12" s="565"/>
      <c r="F12" s="570"/>
      <c r="G12" s="567">
        <f t="shared" ref="G12:G18" si="0">C12+D12</f>
        <v>4891.3453499999996</v>
      </c>
      <c r="K12" s="588">
        <v>42522</v>
      </c>
      <c r="L12" s="590">
        <v>194587.77</v>
      </c>
    </row>
    <row r="13" spans="1:12">
      <c r="A13" s="562">
        <v>42522</v>
      </c>
      <c r="B13" s="585">
        <v>194587.77</v>
      </c>
      <c r="C13" s="571">
        <v>4000</v>
      </c>
      <c r="D13" s="564">
        <f>(B13-100000)*3.5%</f>
        <v>3310.57195</v>
      </c>
      <c r="E13" s="565"/>
      <c r="F13" s="570"/>
      <c r="G13" s="567">
        <f t="shared" si="0"/>
        <v>7310.5719499999996</v>
      </c>
      <c r="H13" s="5" t="s">
        <v>267</v>
      </c>
      <c r="I13" s="581"/>
      <c r="K13" s="588">
        <v>42552</v>
      </c>
      <c r="L13" s="590">
        <v>130007.18</v>
      </c>
    </row>
    <row r="14" spans="1:12">
      <c r="A14" s="562">
        <v>42552</v>
      </c>
      <c r="B14" s="585">
        <v>130007.18</v>
      </c>
      <c r="C14" s="571">
        <v>4000</v>
      </c>
      <c r="D14" s="564">
        <f>(B14-100000)*3.5%</f>
        <v>1050.2512999999999</v>
      </c>
      <c r="E14" s="565"/>
      <c r="F14" s="570"/>
      <c r="G14" s="567">
        <f t="shared" si="0"/>
        <v>5050.2512999999999</v>
      </c>
      <c r="K14" s="600">
        <v>42583</v>
      </c>
      <c r="L14" s="599">
        <v>126780.57999999999</v>
      </c>
    </row>
    <row r="15" spans="1:12">
      <c r="A15" s="562">
        <v>42583</v>
      </c>
      <c r="B15" s="599">
        <v>126780.57999999999</v>
      </c>
      <c r="C15" s="571">
        <v>4000</v>
      </c>
      <c r="D15" s="564">
        <f>26780.58*3.5%</f>
        <v>937.3203000000002</v>
      </c>
      <c r="E15" s="571"/>
      <c r="F15" s="569"/>
      <c r="G15" s="567">
        <f t="shared" si="0"/>
        <v>4937.3203000000003</v>
      </c>
      <c r="K15" s="600">
        <v>42614</v>
      </c>
      <c r="L15" s="602">
        <v>124174.06</v>
      </c>
    </row>
    <row r="16" spans="1:12" ht="15.75" thickBot="1">
      <c r="A16" s="562">
        <v>42614</v>
      </c>
      <c r="B16" s="580">
        <v>124174.06</v>
      </c>
      <c r="C16" s="571">
        <v>4000</v>
      </c>
      <c r="D16" s="564">
        <f>24174.06*3.5%</f>
        <v>846.09210000000007</v>
      </c>
      <c r="E16" s="571"/>
      <c r="F16" s="569"/>
      <c r="G16" s="567">
        <f t="shared" si="0"/>
        <v>4846.0920999999998</v>
      </c>
      <c r="K16" s="600">
        <v>42644</v>
      </c>
      <c r="L16" s="601"/>
    </row>
    <row r="17" spans="1:12" ht="15.75" thickTop="1">
      <c r="A17" s="562">
        <v>42644</v>
      </c>
      <c r="B17" s="572"/>
      <c r="C17" s="571"/>
      <c r="D17" s="564"/>
      <c r="E17" s="574"/>
      <c r="F17" s="566"/>
      <c r="G17" s="567">
        <f t="shared" si="0"/>
        <v>0</v>
      </c>
      <c r="K17" s="588">
        <v>42675</v>
      </c>
      <c r="L17" s="592"/>
    </row>
    <row r="18" spans="1:12" ht="15.75" thickBot="1">
      <c r="A18" s="562">
        <v>42675</v>
      </c>
      <c r="B18" s="572"/>
      <c r="C18" s="571"/>
      <c r="D18" s="564"/>
      <c r="E18" s="574"/>
      <c r="F18" s="574"/>
      <c r="G18" s="567">
        <f t="shared" si="0"/>
        <v>0</v>
      </c>
      <c r="K18" s="595">
        <v>42705</v>
      </c>
      <c r="L18" s="596"/>
    </row>
    <row r="19" spans="1:12" ht="15.75" thickBot="1">
      <c r="A19" s="562">
        <v>42705</v>
      </c>
      <c r="B19" s="575"/>
      <c r="C19" s="576"/>
      <c r="D19" s="577"/>
      <c r="E19" s="578"/>
      <c r="F19" s="579"/>
      <c r="G19" s="567"/>
      <c r="K19" s="597" t="s">
        <v>173</v>
      </c>
      <c r="L19" s="598">
        <f>SUM(L7:L18)</f>
        <v>1187712.7600000002</v>
      </c>
    </row>
    <row r="20" spans="1:12" ht="15.75" thickBot="1">
      <c r="A20" s="551" t="s">
        <v>204</v>
      </c>
      <c r="B20" s="552"/>
      <c r="C20" s="553"/>
      <c r="D20" s="554"/>
      <c r="E20" s="555"/>
      <c r="F20" s="555"/>
      <c r="G20" s="556"/>
    </row>
  </sheetData>
  <mergeCells count="5">
    <mergeCell ref="A3:G3"/>
    <mergeCell ref="C4:E4"/>
    <mergeCell ref="A6:G6"/>
    <mergeCell ref="K5:L5"/>
    <mergeCell ref="K6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24"/>
  <sheetViews>
    <sheetView topLeftCell="AC1" workbookViewId="0">
      <selection activeCell="AC1" sqref="AC1"/>
    </sheetView>
  </sheetViews>
  <sheetFormatPr defaultRowHeight="15"/>
  <cols>
    <col min="1" max="1" width="0" hidden="1" customWidth="1"/>
    <col min="2" max="2" width="32.85546875" hidden="1" customWidth="1"/>
    <col min="3" max="3" width="13.28515625" hidden="1" customWidth="1"/>
    <col min="4" max="4" width="1" hidden="1" customWidth="1"/>
    <col min="5" max="5" width="13.28515625" hidden="1" customWidth="1"/>
    <col min="6" max="6" width="1.28515625" hidden="1" customWidth="1"/>
    <col min="7" max="7" width="13.28515625" hidden="1" customWidth="1"/>
    <col min="8" max="8" width="2.7109375" hidden="1" customWidth="1"/>
    <col min="9" max="9" width="13.28515625" hidden="1" customWidth="1"/>
    <col min="10" max="10" width="0.42578125" hidden="1" customWidth="1"/>
    <col min="11" max="11" width="13.28515625" hidden="1" customWidth="1"/>
    <col min="12" max="12" width="0.7109375" hidden="1" customWidth="1"/>
    <col min="13" max="13" width="13.28515625" hidden="1" customWidth="1"/>
    <col min="14" max="14" width="1.28515625" hidden="1" customWidth="1"/>
    <col min="15" max="15" width="13.28515625" hidden="1" customWidth="1"/>
    <col min="16" max="16" width="1.140625" hidden="1" customWidth="1"/>
    <col min="17" max="17" width="13.28515625" hidden="1" customWidth="1"/>
    <col min="18" max="18" width="0.42578125" hidden="1" customWidth="1"/>
    <col min="19" max="19" width="13.28515625" hidden="1" customWidth="1"/>
    <col min="20" max="20" width="1.140625" hidden="1" customWidth="1"/>
    <col min="21" max="21" width="13.28515625" hidden="1" customWidth="1"/>
    <col min="22" max="22" width="0.5703125" hidden="1" customWidth="1"/>
    <col min="23" max="23" width="13.28515625" hidden="1" customWidth="1"/>
    <col min="24" max="24" width="1" hidden="1" customWidth="1"/>
    <col min="25" max="25" width="13.28515625" hidden="1" customWidth="1"/>
    <col min="26" max="26" width="0.5703125" hidden="1" customWidth="1"/>
    <col min="27" max="27" width="14.28515625" hidden="1" customWidth="1"/>
    <col min="28" max="28" width="0" hidden="1" customWidth="1"/>
  </cols>
  <sheetData>
    <row r="1" spans="1:28" s="539" customFormat="1">
      <c r="B1" s="539">
        <v>407</v>
      </c>
      <c r="C1" s="645" t="s">
        <v>65</v>
      </c>
      <c r="D1" s="647"/>
      <c r="E1" s="640" t="s">
        <v>66</v>
      </c>
      <c r="F1" s="640"/>
      <c r="G1" s="645" t="s">
        <v>81</v>
      </c>
      <c r="H1" s="647"/>
      <c r="I1" s="645" t="s">
        <v>82</v>
      </c>
      <c r="J1" s="647"/>
      <c r="K1" s="645" t="s">
        <v>83</v>
      </c>
      <c r="L1" s="647"/>
      <c r="M1" s="645" t="s">
        <v>84</v>
      </c>
      <c r="N1" s="646"/>
      <c r="O1" s="645" t="s">
        <v>85</v>
      </c>
      <c r="P1" s="647"/>
      <c r="Q1" s="645" t="s">
        <v>86</v>
      </c>
      <c r="R1" s="647"/>
      <c r="S1" s="640" t="s">
        <v>87</v>
      </c>
      <c r="T1" s="640"/>
      <c r="U1" s="645" t="s">
        <v>108</v>
      </c>
      <c r="V1" s="647"/>
      <c r="W1" s="645" t="s">
        <v>109</v>
      </c>
      <c r="X1" s="647"/>
      <c r="Y1" s="640" t="s">
        <v>110</v>
      </c>
      <c r="Z1" s="640"/>
      <c r="AA1" s="641" t="s">
        <v>204</v>
      </c>
      <c r="AB1" s="641"/>
    </row>
    <row r="2" spans="1:28" s="539" customFormat="1" ht="15.75" thickBot="1">
      <c r="A2" s="37">
        <v>5199</v>
      </c>
      <c r="B2" s="37" t="s">
        <v>72</v>
      </c>
      <c r="C2" s="306">
        <f>Markaz!C12*9.38</f>
        <v>1099614.0232000002</v>
      </c>
      <c r="E2" s="306">
        <f>Markaz!E12*9.38</f>
        <v>855501.30540000007</v>
      </c>
      <c r="G2" s="306">
        <f>Markaz!G12*9.38</f>
        <v>1419086.4874077628</v>
      </c>
      <c r="I2" s="306">
        <f>Markaz!I12*9.38</f>
        <v>1253045.2314815125</v>
      </c>
      <c r="K2" s="306">
        <f>Markaz!K12*9.38</f>
        <v>1146037.5130043789</v>
      </c>
      <c r="M2" s="306">
        <f>Markaz!M12*9.38</f>
        <v>1625065.3262976049</v>
      </c>
      <c r="O2" s="306">
        <f>Markaz!O12*9.38</f>
        <v>1028845.9555449752</v>
      </c>
      <c r="Q2" s="306">
        <f>Markaz!Q12*9.38</f>
        <v>1277558.1881067338</v>
      </c>
      <c r="S2" s="306">
        <f>Markaz!S12*9.38</f>
        <v>1286985.6423050771</v>
      </c>
      <c r="U2" s="306">
        <f>Markaz!U12*9.38</f>
        <v>1020845.4145478823</v>
      </c>
      <c r="W2" s="306">
        <f>Markaz!W12*9.38</f>
        <v>1038650.5197768285</v>
      </c>
      <c r="Y2" s="306">
        <f>Markaz!Y12*9.38</f>
        <v>1569051.4110481916</v>
      </c>
      <c r="AA2" s="306">
        <f>C2+E2+G2+I2+K2+M2+O2+Q2+S2+U2+W2+Y2</f>
        <v>14620287.018120952</v>
      </c>
    </row>
    <row r="3" spans="1:28" s="539" customFormat="1" ht="15.75" thickTop="1">
      <c r="A3" s="8">
        <v>5999</v>
      </c>
      <c r="B3" s="586" t="s">
        <v>97</v>
      </c>
      <c r="C3" s="306">
        <f>Markaz!C36*9.38</f>
        <v>567635.11085119995</v>
      </c>
      <c r="E3" s="306">
        <f>Markaz!E36*9.38</f>
        <v>373746.20109764015</v>
      </c>
      <c r="G3" s="306">
        <f>Markaz!G36*9.38</f>
        <v>707366.17839528807</v>
      </c>
      <c r="H3" s="309"/>
      <c r="I3" s="306">
        <f>Markaz!I36*9.38</f>
        <v>571749.321178718</v>
      </c>
      <c r="J3" s="309"/>
      <c r="K3" s="306">
        <f>Markaz!K36*9.38</f>
        <v>515264.73386416788</v>
      </c>
      <c r="M3" s="306">
        <f>Markaz!M36*9.38</f>
        <v>853880.83752413187</v>
      </c>
      <c r="O3" s="306">
        <f>Markaz!O36*9.38</f>
        <v>467949.57855074573</v>
      </c>
      <c r="Q3" s="306">
        <f>Markaz!Q36*9.38</f>
        <v>554184.93100307987</v>
      </c>
      <c r="S3" s="306">
        <f>Markaz!S36*9.38</f>
        <v>519919.43368279014</v>
      </c>
      <c r="U3" s="306">
        <f>Markaz!U36*9.38</f>
        <v>510861.37635685079</v>
      </c>
      <c r="W3" s="306">
        <f>Markaz!W36*9.38</f>
        <v>485907.48304764502</v>
      </c>
      <c r="Y3" s="306">
        <f>Markaz!Y36*9.38</f>
        <v>824614.11136472004</v>
      </c>
      <c r="AA3" s="306">
        <f t="shared" ref="AA3:AA7" si="0">C3+E3+G3+I3+K3+M3+O3+Q3+S3+U3+W3+Y3</f>
        <v>6953079.2969169766</v>
      </c>
    </row>
    <row r="4" spans="1:28" s="539" customFormat="1">
      <c r="A4" s="45">
        <v>6799</v>
      </c>
      <c r="B4" s="45" t="s">
        <v>114</v>
      </c>
      <c r="C4" s="306">
        <f>(Markaz!C145-Markaz!C142+Markaz!C148+Markaz!C150)*9.38</f>
        <v>324013.35488855379</v>
      </c>
      <c r="E4" s="306">
        <f>(Markaz!E145-Markaz!E142+Markaz!E148+Markaz!E150)*9.38</f>
        <v>320692.10391099588</v>
      </c>
      <c r="G4" s="306">
        <f>(Markaz!G145-Markaz!G142+Markaz!G148+Markaz!G150)*9.38</f>
        <v>366827.24549363524</v>
      </c>
      <c r="H4" s="309"/>
      <c r="I4" s="306">
        <f>(Markaz!I145-Markaz!I142+Markaz!I148+Markaz!I150)*9.38</f>
        <v>360434.90822007222</v>
      </c>
      <c r="J4" s="309"/>
      <c r="K4" s="306">
        <f>(Markaz!K145-Markaz!K142+Markaz!K148+Markaz!K150)*9.38</f>
        <v>357981.10002878134</v>
      </c>
      <c r="M4" s="306">
        <f>(Markaz!M145-Markaz!M142+Markaz!M148+Markaz!M150)*9.38</f>
        <v>349443.2540322218</v>
      </c>
      <c r="N4" s="307"/>
      <c r="O4" s="306">
        <f>(Markaz!O145-Markaz!O142+Markaz!O148+Markaz!O150)*9.38</f>
        <v>324480.53821104759</v>
      </c>
      <c r="Q4" s="306">
        <f>(Markaz!Q145-Markaz!Q142+Markaz!Q148+Markaz!Q150)*9.38</f>
        <v>373071.98101575946</v>
      </c>
      <c r="S4" s="306">
        <f>(Markaz!S145-Markaz!S142+Markaz!S148+Markaz!S150)*9.38</f>
        <v>369555.90567866119</v>
      </c>
      <c r="U4" s="306">
        <f>(Markaz!U145-Markaz!U142+Markaz!U148+Markaz!U150)*9.38</f>
        <v>326490.31619704695</v>
      </c>
      <c r="W4" s="306">
        <f>(Markaz!W145-Markaz!W142+Markaz!W148+Markaz!W150)*9.38</f>
        <v>323815.26252529054</v>
      </c>
      <c r="Y4" s="306">
        <f>(Markaz!Y145-Markaz!Y142+Markaz!Y148+Markaz!Y150)*9.38</f>
        <v>376227.77472012828</v>
      </c>
      <c r="AA4" s="306">
        <f t="shared" si="0"/>
        <v>4173033.7449221942</v>
      </c>
    </row>
    <row r="5" spans="1:28" s="539" customFormat="1" ht="15.75" thickBot="1">
      <c r="B5" s="587" t="s">
        <v>268</v>
      </c>
      <c r="C5" s="306">
        <f>C2-C3-C4</f>
        <v>207965.55746024643</v>
      </c>
      <c r="E5" s="306">
        <f>E2-E3-E4</f>
        <v>161063.00039136404</v>
      </c>
      <c r="G5" s="306">
        <f>G2-G3-G4</f>
        <v>344893.06351883948</v>
      </c>
      <c r="I5" s="306">
        <f>I2-I3-I4</f>
        <v>320861.00208272232</v>
      </c>
      <c r="K5" s="306">
        <f>K2-K3-K4</f>
        <v>272791.67911142961</v>
      </c>
      <c r="M5" s="306">
        <f>M2-M3-M4</f>
        <v>421741.23474125128</v>
      </c>
      <c r="O5" s="306">
        <f>O2-O3-O4</f>
        <v>236415.83878318191</v>
      </c>
      <c r="Q5" s="306">
        <f>Q2-Q3-Q4</f>
        <v>350301.27608789451</v>
      </c>
      <c r="S5" s="306">
        <f>S2-S3-S4</f>
        <v>397510.30294362572</v>
      </c>
      <c r="U5" s="306">
        <f>U2-U3-U4</f>
        <v>183493.72199398454</v>
      </c>
      <c r="W5" s="306">
        <f>W2-W3-W4</f>
        <v>228927.77420389297</v>
      </c>
      <c r="Y5" s="306">
        <f>Y2-Y3-Y4</f>
        <v>368209.52496334328</v>
      </c>
      <c r="AA5" s="306">
        <f t="shared" si="0"/>
        <v>3494173.9762817761</v>
      </c>
    </row>
    <row r="6" spans="1:28" s="539" customFormat="1" ht="15.75" thickTop="1">
      <c r="A6" s="45">
        <v>6798</v>
      </c>
      <c r="B6" s="45" t="s">
        <v>169</v>
      </c>
      <c r="C6" s="306">
        <f>(Markaz!C144-Markaz!C142)*9.38</f>
        <v>37375.25722</v>
      </c>
      <c r="E6" s="306">
        <f>(Markaz!E144-Markaz!E142)*9.38</f>
        <v>37375.25722</v>
      </c>
      <c r="G6" s="306">
        <f>(Markaz!G144-Markaz!G142)*9.38</f>
        <v>37375.25722</v>
      </c>
      <c r="H6" s="309"/>
      <c r="I6" s="306">
        <f>(Markaz!I144-Markaz!I142)*9.38</f>
        <v>37375.25722</v>
      </c>
      <c r="J6" s="309"/>
      <c r="K6" s="306">
        <f>(Markaz!K144-Markaz!K142)*9.38</f>
        <v>37375.25722</v>
      </c>
      <c r="M6" s="306">
        <f>(Markaz!M144-Markaz!M142)*9.38</f>
        <v>37375.25722</v>
      </c>
      <c r="O6" s="306">
        <f>(Markaz!O144-Markaz!O142)*9.38</f>
        <v>37375.25722</v>
      </c>
      <c r="Q6" s="306">
        <f>(Markaz!Q144-Markaz!Q142)*9.38</f>
        <v>37375.25722</v>
      </c>
      <c r="S6" s="306">
        <f>(Markaz!S144-Markaz!S142)*9.38</f>
        <v>37375.25722</v>
      </c>
      <c r="U6" s="306">
        <f>(Markaz!U144-Markaz!U142)*9.38</f>
        <v>37375.25722</v>
      </c>
      <c r="W6" s="306">
        <f>(Markaz!W144-Markaz!W142)*9.38</f>
        <v>37375.25722</v>
      </c>
      <c r="Y6" s="306">
        <f>(Markaz!Y144-Markaz!Y142)*9.38</f>
        <v>37375.25722</v>
      </c>
      <c r="AA6" s="306">
        <f t="shared" si="0"/>
        <v>448503.08664000011</v>
      </c>
    </row>
    <row r="7" spans="1:28" s="539" customFormat="1" ht="15.75" thickBot="1">
      <c r="A7" s="4">
        <v>6299</v>
      </c>
      <c r="B7" s="4" t="s">
        <v>100</v>
      </c>
      <c r="C7" s="306">
        <f>Markaz!C93*9.38</f>
        <v>127799.46638131936</v>
      </c>
      <c r="E7" s="306">
        <f>Markaz!E93*9.38</f>
        <v>127799.46638131936</v>
      </c>
      <c r="G7" s="306">
        <f>Markaz!G93*9.38</f>
        <v>127799.46638131936</v>
      </c>
      <c r="I7" s="306">
        <f>Markaz!I93*9.38</f>
        <v>127799.46638131936</v>
      </c>
      <c r="K7" s="306">
        <f>Markaz!K93*9.38</f>
        <v>127799.46638131936</v>
      </c>
      <c r="M7" s="306">
        <f>Markaz!M93*9.38</f>
        <v>127799.46638131936</v>
      </c>
      <c r="O7" s="306">
        <f>Markaz!O93*9.38</f>
        <v>127799.46638131936</v>
      </c>
      <c r="Q7" s="306">
        <f>Markaz!Q93*9.38</f>
        <v>127799.46638131936</v>
      </c>
      <c r="S7" s="306">
        <f>Markaz!S93*9.38</f>
        <v>127799.46638131936</v>
      </c>
      <c r="U7" s="306">
        <f>Markaz!U93*9.38</f>
        <v>127799.46638131936</v>
      </c>
      <c r="W7" s="306">
        <f>Markaz!W93*9.38</f>
        <v>127799.46638131936</v>
      </c>
      <c r="Y7" s="306">
        <f>Markaz!Y93*9.38</f>
        <v>127799.46638131936</v>
      </c>
      <c r="AA7" s="306">
        <f t="shared" si="0"/>
        <v>1533593.5965758322</v>
      </c>
    </row>
    <row r="8" spans="1:28" ht="15.75" thickTop="1"/>
    <row r="10" spans="1:28" s="539" customFormat="1">
      <c r="B10" s="539">
        <v>421</v>
      </c>
      <c r="C10" s="645" t="s">
        <v>65</v>
      </c>
      <c r="D10" s="647"/>
      <c r="E10" s="640" t="s">
        <v>66</v>
      </c>
      <c r="F10" s="640"/>
      <c r="G10" s="645" t="s">
        <v>81</v>
      </c>
      <c r="H10" s="647"/>
      <c r="I10" s="645" t="s">
        <v>82</v>
      </c>
      <c r="J10" s="647"/>
      <c r="K10" s="645" t="s">
        <v>83</v>
      </c>
      <c r="L10" s="647"/>
      <c r="M10" s="645" t="s">
        <v>84</v>
      </c>
      <c r="N10" s="646"/>
      <c r="O10" s="645" t="s">
        <v>85</v>
      </c>
      <c r="P10" s="647"/>
      <c r="Q10" s="645" t="s">
        <v>86</v>
      </c>
      <c r="R10" s="647"/>
      <c r="S10" s="640" t="s">
        <v>87</v>
      </c>
      <c r="T10" s="640"/>
      <c r="U10" s="645" t="s">
        <v>108</v>
      </c>
      <c r="V10" s="647"/>
      <c r="W10" s="645" t="s">
        <v>109</v>
      </c>
      <c r="X10" s="647"/>
      <c r="Y10" s="640" t="s">
        <v>110</v>
      </c>
      <c r="Z10" s="640"/>
      <c r="AA10" s="641" t="s">
        <v>204</v>
      </c>
      <c r="AB10" s="641"/>
    </row>
    <row r="11" spans="1:28" s="539" customFormat="1" ht="15.75" thickBot="1">
      <c r="A11" s="37">
        <v>5199</v>
      </c>
      <c r="B11" s="37" t="s">
        <v>72</v>
      </c>
      <c r="C11" s="306">
        <f>Avenue!C16*9.38</f>
        <v>1352802.36</v>
      </c>
      <c r="E11" s="306">
        <f>Avenue!E16*9.38</f>
        <v>1052482.4296078768</v>
      </c>
      <c r="G11" s="306">
        <f>Avenue!G16*9.38</f>
        <v>1745834.2730899947</v>
      </c>
      <c r="I11" s="306">
        <f>Avenue!I16*9.38</f>
        <v>1541561.6342000002</v>
      </c>
      <c r="K11" s="306">
        <f>Avenue!K16*9.38</f>
        <v>1409915.1716289714</v>
      </c>
      <c r="M11" s="306">
        <f>Avenue!M16*9.38</f>
        <v>1999240.1618000004</v>
      </c>
      <c r="O11" s="306">
        <f>Avenue!O16*9.38</f>
        <v>1265740.0002458903</v>
      </c>
      <c r="Q11" s="306">
        <f>Avenue!Q16*9.38</f>
        <v>1571718.7715160016</v>
      </c>
      <c r="S11" s="306">
        <f>Avenue!S16*9.38</f>
        <v>1583316.9177836881</v>
      </c>
      <c r="U11" s="306">
        <f>Avenue!U16*9.38</f>
        <v>1255897.3170832056</v>
      </c>
      <c r="W11" s="306">
        <f>Avenue!W16*9.38</f>
        <v>1277802.0869619315</v>
      </c>
      <c r="Y11" s="306">
        <f>Avenue!Y16*9.38</f>
        <v>1930328.9503178985</v>
      </c>
      <c r="AA11" s="306">
        <f>C11+E11+G11+I11+K11+M11+O11+Q11+S11+U11+W11+Y11</f>
        <v>17986640.074235458</v>
      </c>
    </row>
    <row r="12" spans="1:28" s="539" customFormat="1" ht="15.75" thickTop="1">
      <c r="A12" s="8">
        <v>5999</v>
      </c>
      <c r="B12" s="586" t="s">
        <v>97</v>
      </c>
      <c r="C12" s="306">
        <f>Avenue!C36*9.38</f>
        <v>698280.51776000008</v>
      </c>
      <c r="E12" s="306">
        <f>Avenue!E36*9.38</f>
        <v>491322.80165503535</v>
      </c>
      <c r="G12" s="306">
        <f>Avenue!G36*9.38</f>
        <v>870183.71828074439</v>
      </c>
      <c r="H12" s="309"/>
      <c r="I12" s="306">
        <f>Avenue!I36*9.38</f>
        <v>734171.99404262006</v>
      </c>
      <c r="J12" s="309"/>
      <c r="K12" s="306">
        <f>Avenue!K36*9.38</f>
        <v>618341.31124214095</v>
      </c>
      <c r="M12" s="306">
        <f>Avenue!M36*9.38</f>
        <v>1042038.5483139802</v>
      </c>
      <c r="O12" s="306">
        <f>Avenue!O36*9.38</f>
        <v>557033.52610816725</v>
      </c>
      <c r="Q12" s="306">
        <f>Avenue!Q36*9.38</f>
        <v>735170.19756088231</v>
      </c>
      <c r="S12" s="306">
        <f>Avenue!S36*9.38</f>
        <v>786351.34967960126</v>
      </c>
      <c r="U12" s="306">
        <f>Avenue!U36*9.38</f>
        <v>618261.56973664544</v>
      </c>
      <c r="W12" s="306">
        <f>Avenue!W36*9.38</f>
        <v>587767.89958509628</v>
      </c>
      <c r="Y12" s="306">
        <f>Avenue!Y36*9.38</f>
        <v>1006321.9489056887</v>
      </c>
      <c r="AA12" s="306">
        <f t="shared" ref="AA12:AA16" si="1">C12+E12+G12+I12+K12+M12+O12+Q12+S12+U12+W12+Y12</f>
        <v>8745245.3828706034</v>
      </c>
    </row>
    <row r="13" spans="1:28" s="539" customFormat="1">
      <c r="A13" s="45">
        <v>6799</v>
      </c>
      <c r="B13" s="45" t="s">
        <v>114</v>
      </c>
      <c r="C13" s="306">
        <v>468435.73291999992</v>
      </c>
      <c r="E13" s="306">
        <f>(Avenue!E145-Avenue!E142+Avenue!E148+Avenue!E150)*9.38</f>
        <v>551693.68605301075</v>
      </c>
      <c r="G13" s="306">
        <f>(Avenue!G145-Avenue!G142+Avenue!G148+Avenue!G150)*9.38</f>
        <v>583140.19481073669</v>
      </c>
      <c r="H13" s="309"/>
      <c r="I13" s="306">
        <f>(Avenue!I145-Avenue!I142+Avenue!I148+Avenue!I150)*9.38</f>
        <v>661884.92825035576</v>
      </c>
      <c r="J13" s="309"/>
      <c r="K13" s="306">
        <f>(Avenue!K145-Avenue!K142+Avenue!K148+Avenue!K150)*9.38</f>
        <v>586399.77905314765</v>
      </c>
      <c r="M13" s="306">
        <f>(Avenue!M145-Avenue!M142+Avenue!M148+Avenue!M150)*9.38</f>
        <v>565844.89712214703</v>
      </c>
      <c r="N13" s="307"/>
      <c r="O13" s="306">
        <f>(Avenue!O145-Avenue!O142+Avenue!O148+Avenue!O150)*9.38</f>
        <v>567233.24987609219</v>
      </c>
      <c r="Q13" s="306">
        <f>(Avenue!Q145-Avenue!Q142+Avenue!Q148+Avenue!Q150)*9.38</f>
        <v>604344.24305373046</v>
      </c>
      <c r="S13" s="306">
        <f>(Avenue!S145-Avenue!S142+Avenue!S148+Avenue!S150)*9.38</f>
        <v>589386.35408866184</v>
      </c>
      <c r="U13" s="306">
        <f>(Avenue!U145-Avenue!U142+Avenue!U148+Avenue!U150)*9.38</f>
        <v>564645.06970575184</v>
      </c>
      <c r="W13" s="306">
        <f>(Avenue!W145-Avenue!W142+Avenue!W148+Avenue!W150)*9.38</f>
        <v>562464.95930468582</v>
      </c>
      <c r="Y13" s="306">
        <f>(Avenue!Y145-Avenue!Y142+Avenue!Y148+Avenue!Y150)*9.38</f>
        <v>600236.67260012124</v>
      </c>
      <c r="AA13" s="306">
        <f t="shared" si="1"/>
        <v>6905709.7668384407</v>
      </c>
    </row>
    <row r="14" spans="1:28" s="539" customFormat="1" ht="15.75" thickBot="1">
      <c r="B14" s="587" t="s">
        <v>268</v>
      </c>
      <c r="C14" s="306">
        <f>C11-C12-C13</f>
        <v>186086.10932000011</v>
      </c>
      <c r="E14" s="306">
        <f>E11-E12-E13</f>
        <v>9465.9418998307083</v>
      </c>
      <c r="G14" s="306">
        <f>G11-G12-G13</f>
        <v>292510.3599985136</v>
      </c>
      <c r="I14" s="306">
        <f>I11-I12-I13</f>
        <v>145504.71190702438</v>
      </c>
      <c r="K14" s="306">
        <f>K11-K12-K13</f>
        <v>205174.08133368276</v>
      </c>
      <c r="M14" s="306">
        <f>M11-M12-M13</f>
        <v>391356.7163638731</v>
      </c>
      <c r="O14" s="306">
        <f>O11-O12-O13</f>
        <v>141473.22426163091</v>
      </c>
      <c r="Q14" s="306">
        <f>Q11-Q12-Q13</f>
        <v>232204.33090138878</v>
      </c>
      <c r="S14" s="306">
        <f>S11-S12-S13</f>
        <v>207579.21401542495</v>
      </c>
      <c r="U14" s="306">
        <f>U11-U12-U13</f>
        <v>72990.677640808281</v>
      </c>
      <c r="W14" s="306">
        <f>W11-W12-W13</f>
        <v>127569.22807214945</v>
      </c>
      <c r="Y14" s="306">
        <f>Y11-Y12-Y13</f>
        <v>323770.32881208858</v>
      </c>
      <c r="AA14" s="306">
        <f t="shared" si="1"/>
        <v>2335684.9245264153</v>
      </c>
    </row>
    <row r="15" spans="1:28" s="539" customFormat="1" ht="15.75" thickTop="1">
      <c r="A15" s="45">
        <v>6798</v>
      </c>
      <c r="B15" s="45" t="s">
        <v>169</v>
      </c>
      <c r="C15" s="306">
        <f>(Avenue!C144-Avenue!C142)*9.38</f>
        <v>93670.162039999996</v>
      </c>
      <c r="E15" s="306">
        <f>(Avenue!E144-Avenue!E142)*9.38</f>
        <v>93670.171419999999</v>
      </c>
      <c r="G15" s="306">
        <f>(Avenue!G144-Avenue!G142)*9.38</f>
        <v>93670.162039999996</v>
      </c>
      <c r="H15" s="309"/>
      <c r="I15" s="306">
        <f>(Avenue!I144-Avenue!I142)*9.38</f>
        <v>93670.171419999999</v>
      </c>
      <c r="J15" s="309"/>
      <c r="K15" s="306">
        <f>(Avenue!K144-Avenue!K142)*9.38</f>
        <v>93670.162039999996</v>
      </c>
      <c r="M15" s="306">
        <f>(Avenue!M144-Avenue!M142)*9.38</f>
        <v>93670.171419999999</v>
      </c>
      <c r="O15" s="306">
        <f>(Avenue!O144-Avenue!O142)*9.38</f>
        <v>93670.162039999996</v>
      </c>
      <c r="Q15" s="306">
        <f>(Avenue!Q144-Avenue!Q142)*9.38</f>
        <v>93670.171419999999</v>
      </c>
      <c r="S15" s="306">
        <f>(Avenue!S144-Avenue!S142)*9.38</f>
        <v>93670.152660000007</v>
      </c>
      <c r="U15" s="306">
        <f>(Avenue!U144-Avenue!U142)*9.38</f>
        <v>93670.162039999996</v>
      </c>
      <c r="W15" s="306">
        <f>(Avenue!W144-Avenue!W142)*9.38</f>
        <v>93670.162039999996</v>
      </c>
      <c r="Y15" s="306">
        <f>(Avenue!Y144-Avenue!Y142)*9.38</f>
        <v>93670.162039999996</v>
      </c>
      <c r="AA15" s="306">
        <f t="shared" si="1"/>
        <v>1124041.9726199999</v>
      </c>
    </row>
    <row r="16" spans="1:28" s="539" customFormat="1" ht="15.75" thickBot="1">
      <c r="A16" s="4">
        <v>6299</v>
      </c>
      <c r="B16" s="4" t="s">
        <v>100</v>
      </c>
      <c r="C16" s="306">
        <f>Avenue!C93*9.38</f>
        <v>135668.98996478826</v>
      </c>
      <c r="E16" s="306">
        <f>Avenue!E93*9.38</f>
        <v>135668.98996478826</v>
      </c>
      <c r="G16" s="306">
        <f>Avenue!G93*9.38</f>
        <v>135668.98996478826</v>
      </c>
      <c r="I16" s="306">
        <f>Avenue!I93*9.38</f>
        <v>135668.98996478826</v>
      </c>
      <c r="K16" s="306">
        <f>Avenue!K93*9.38</f>
        <v>135668.98996478826</v>
      </c>
      <c r="M16" s="306">
        <f>Avenue!M93*9.38</f>
        <v>135668.98996478826</v>
      </c>
      <c r="O16" s="306">
        <f>Avenue!O93*9.38</f>
        <v>135668.98996478826</v>
      </c>
      <c r="Q16" s="306">
        <f>Avenue!Q93*9.38</f>
        <v>135668.98996478826</v>
      </c>
      <c r="S16" s="306">
        <f>Avenue!S93*9.38</f>
        <v>135668.98996478826</v>
      </c>
      <c r="U16" s="306">
        <f>Avenue!U93*9.38</f>
        <v>135668.98996478826</v>
      </c>
      <c r="W16" s="306">
        <f>Avenue!W93*9.38</f>
        <v>135668.98996478826</v>
      </c>
      <c r="Y16" s="306">
        <f>Avenue!Y93*9.38</f>
        <v>135668.98996478826</v>
      </c>
      <c r="AA16" s="306">
        <f t="shared" si="1"/>
        <v>1628027.8795774595</v>
      </c>
    </row>
    <row r="17" spans="1:27" ht="15.75" thickTop="1"/>
    <row r="18" spans="1:27" ht="15.75" thickBot="1">
      <c r="A18" s="37">
        <v>5199</v>
      </c>
      <c r="B18" s="37" t="s">
        <v>72</v>
      </c>
      <c r="C18" s="306">
        <f>C2+C11</f>
        <v>2452416.3832</v>
      </c>
      <c r="E18" s="306">
        <f>E2+E11</f>
        <v>1907983.735007877</v>
      </c>
      <c r="G18" s="306">
        <f>G2+G11</f>
        <v>3164920.7604977572</v>
      </c>
      <c r="I18" s="306">
        <f>I2+I11</f>
        <v>2794606.8656815127</v>
      </c>
      <c r="K18" s="306">
        <f>K2+K11</f>
        <v>2555952.68463335</v>
      </c>
      <c r="M18" s="306">
        <f>M2+M11</f>
        <v>3624305.4880976053</v>
      </c>
      <c r="O18" s="306">
        <f>O2+O11</f>
        <v>2294585.9557908657</v>
      </c>
      <c r="Q18" s="306">
        <f>Q2+Q11</f>
        <v>2849276.9596227352</v>
      </c>
      <c r="S18" s="306">
        <f>S2+S11</f>
        <v>2870302.5600887649</v>
      </c>
      <c r="U18" s="306">
        <f>U2+U11</f>
        <v>2276742.7316310881</v>
      </c>
      <c r="W18" s="306">
        <f>W2+W11</f>
        <v>2316452.6067387601</v>
      </c>
      <c r="Y18" s="306">
        <f>Y2+Y11</f>
        <v>3499380.3613660904</v>
      </c>
      <c r="AA18" s="306">
        <f>AA2+AA11</f>
        <v>32606927.09235641</v>
      </c>
    </row>
    <row r="19" spans="1:27" ht="15.75" thickTop="1">
      <c r="A19" s="8">
        <v>5999</v>
      </c>
      <c r="B19" s="586" t="s">
        <v>97</v>
      </c>
      <c r="C19" s="306">
        <f t="shared" ref="C19:E23" si="2">C3+C12</f>
        <v>1265915.6286112</v>
      </c>
      <c r="E19" s="306">
        <f t="shared" si="2"/>
        <v>865069.00275267544</v>
      </c>
      <c r="G19" s="306">
        <f t="shared" ref="G19" si="3">G3+G12</f>
        <v>1577549.8966760323</v>
      </c>
      <c r="I19" s="306">
        <f t="shared" ref="I19" si="4">I3+I12</f>
        <v>1305921.3152213381</v>
      </c>
      <c r="K19" s="306">
        <f t="shared" ref="K19" si="5">K3+K12</f>
        <v>1133606.0451063088</v>
      </c>
      <c r="M19" s="306">
        <f t="shared" ref="M19" si="6">M3+M12</f>
        <v>1895919.3858381121</v>
      </c>
      <c r="O19" s="306">
        <f t="shared" ref="O19" si="7">O3+O12</f>
        <v>1024983.104658913</v>
      </c>
      <c r="Q19" s="306">
        <f t="shared" ref="Q19" si="8">Q3+Q12</f>
        <v>1289355.1285639622</v>
      </c>
      <c r="S19" s="306">
        <f t="shared" ref="S19" si="9">S3+S12</f>
        <v>1306270.7833623914</v>
      </c>
      <c r="U19" s="306">
        <f t="shared" ref="U19" si="10">U3+U12</f>
        <v>1129122.9460934962</v>
      </c>
      <c r="W19" s="306">
        <f t="shared" ref="W19" si="11">W3+W12</f>
        <v>1073675.3826327412</v>
      </c>
      <c r="Y19" s="306">
        <f t="shared" ref="Y19" si="12">Y3+Y12</f>
        <v>1830936.0602704086</v>
      </c>
      <c r="AA19" s="306">
        <f t="shared" ref="AA19" si="13">AA3+AA12</f>
        <v>15698324.67978758</v>
      </c>
    </row>
    <row r="20" spans="1:27">
      <c r="A20" s="45">
        <v>6799</v>
      </c>
      <c r="B20" s="45" t="s">
        <v>114</v>
      </c>
      <c r="C20" s="306">
        <f t="shared" si="2"/>
        <v>792449.08780855371</v>
      </c>
      <c r="E20" s="306">
        <f t="shared" si="2"/>
        <v>872385.78996400663</v>
      </c>
      <c r="G20" s="306">
        <f t="shared" ref="G20" si="14">G4+G13</f>
        <v>949967.44030437199</v>
      </c>
      <c r="I20" s="306">
        <f t="shared" ref="I20" si="15">I4+I13</f>
        <v>1022319.8364704279</v>
      </c>
      <c r="K20" s="306">
        <f t="shared" ref="K20" si="16">K4+K13</f>
        <v>944380.87908192899</v>
      </c>
      <c r="M20" s="306">
        <f t="shared" ref="M20" si="17">M4+M13</f>
        <v>915288.15115436888</v>
      </c>
      <c r="O20" s="306">
        <f t="shared" ref="O20" si="18">O4+O13</f>
        <v>891713.78808713984</v>
      </c>
      <c r="Q20" s="306">
        <f t="shared" ref="Q20" si="19">Q4+Q13</f>
        <v>977416.22406948986</v>
      </c>
      <c r="S20" s="306">
        <f t="shared" ref="S20" si="20">S4+S13</f>
        <v>958942.25976732303</v>
      </c>
      <c r="U20" s="306">
        <f t="shared" ref="U20" si="21">U4+U13</f>
        <v>891135.38590279873</v>
      </c>
      <c r="W20" s="306">
        <f t="shared" ref="W20" si="22">W4+W13</f>
        <v>886280.22182997642</v>
      </c>
      <c r="Y20" s="306">
        <f t="shared" ref="Y20" si="23">Y4+Y13</f>
        <v>976464.44732024951</v>
      </c>
      <c r="AA20" s="306">
        <f t="shared" ref="AA20" si="24">AA4+AA13</f>
        <v>11078743.511760635</v>
      </c>
    </row>
    <row r="21" spans="1:27" ht="15.75" thickBot="1">
      <c r="A21" s="539"/>
      <c r="B21" s="587" t="s">
        <v>268</v>
      </c>
      <c r="C21" s="306">
        <f t="shared" si="2"/>
        <v>394051.66678024654</v>
      </c>
      <c r="E21" s="306">
        <f t="shared" si="2"/>
        <v>170528.94229119475</v>
      </c>
      <c r="G21" s="306">
        <f t="shared" ref="G21" si="25">G5+G14</f>
        <v>637403.42351735313</v>
      </c>
      <c r="I21" s="306">
        <f t="shared" ref="I21" si="26">I5+I14</f>
        <v>466365.7139897467</v>
      </c>
      <c r="K21" s="306">
        <f t="shared" ref="K21" si="27">K5+K14</f>
        <v>477965.76044511236</v>
      </c>
      <c r="M21" s="306">
        <f t="shared" ref="M21" si="28">M5+M14</f>
        <v>813097.95110512432</v>
      </c>
      <c r="O21" s="306">
        <f t="shared" ref="O21" si="29">O5+O14</f>
        <v>377889.06304481282</v>
      </c>
      <c r="Q21" s="306">
        <f t="shared" ref="Q21" si="30">Q5+Q14</f>
        <v>582505.60698928335</v>
      </c>
      <c r="S21" s="306">
        <f t="shared" ref="S21" si="31">S5+S14</f>
        <v>605089.51695905067</v>
      </c>
      <c r="U21" s="306">
        <f t="shared" ref="U21" si="32">U5+U14</f>
        <v>256484.39963479282</v>
      </c>
      <c r="W21" s="306">
        <f t="shared" ref="W21" si="33">W5+W14</f>
        <v>356497.00227604242</v>
      </c>
      <c r="Y21" s="306">
        <f t="shared" ref="Y21" si="34">Y5+Y14</f>
        <v>691979.85377543187</v>
      </c>
      <c r="AA21" s="306">
        <f t="shared" ref="AA21" si="35">AA5+AA14</f>
        <v>5829858.9008081909</v>
      </c>
    </row>
    <row r="22" spans="1:27" ht="15.75" thickTop="1">
      <c r="A22" s="45">
        <v>6798</v>
      </c>
      <c r="B22" s="45" t="s">
        <v>169</v>
      </c>
      <c r="C22" s="306">
        <f t="shared" si="2"/>
        <v>131045.41926</v>
      </c>
      <c r="E22" s="306">
        <f t="shared" si="2"/>
        <v>131045.42864</v>
      </c>
      <c r="G22" s="306">
        <f t="shared" ref="G22" si="36">G6+G15</f>
        <v>131045.41926</v>
      </c>
      <c r="I22" s="306">
        <f t="shared" ref="I22" si="37">I6+I15</f>
        <v>131045.42864</v>
      </c>
      <c r="K22" s="306">
        <f t="shared" ref="K22" si="38">K6+K15</f>
        <v>131045.41926</v>
      </c>
      <c r="M22" s="306">
        <f t="shared" ref="M22" si="39">M6+M15</f>
        <v>131045.42864</v>
      </c>
      <c r="O22" s="306">
        <f t="shared" ref="O22" si="40">O6+O15</f>
        <v>131045.41926</v>
      </c>
      <c r="Q22" s="306">
        <f t="shared" ref="Q22" si="41">Q6+Q15</f>
        <v>131045.42864</v>
      </c>
      <c r="S22" s="306">
        <f t="shared" ref="S22" si="42">S6+S15</f>
        <v>131045.40988000001</v>
      </c>
      <c r="U22" s="306">
        <f t="shared" ref="U22" si="43">U6+U15</f>
        <v>131045.41926</v>
      </c>
      <c r="W22" s="306">
        <f t="shared" ref="W22" si="44">W6+W15</f>
        <v>131045.41926</v>
      </c>
      <c r="Y22" s="306">
        <f t="shared" ref="Y22" si="45">Y6+Y15</f>
        <v>131045.41926</v>
      </c>
      <c r="AA22" s="306">
        <f t="shared" ref="AA22" si="46">AA6+AA15</f>
        <v>1572545.05926</v>
      </c>
    </row>
    <row r="23" spans="1:27" ht="15.75" thickBot="1">
      <c r="A23" s="4">
        <v>6299</v>
      </c>
      <c r="B23" s="4" t="s">
        <v>100</v>
      </c>
      <c r="C23" s="306">
        <f t="shared" si="2"/>
        <v>263468.45634610765</v>
      </c>
      <c r="E23" s="306">
        <f t="shared" si="2"/>
        <v>263468.45634610765</v>
      </c>
      <c r="G23" s="306">
        <f t="shared" ref="G23" si="47">G7+G16</f>
        <v>263468.45634610765</v>
      </c>
      <c r="I23" s="306">
        <f t="shared" ref="I23" si="48">I7+I16</f>
        <v>263468.45634610765</v>
      </c>
      <c r="K23" s="306">
        <f t="shared" ref="K23" si="49">K7+K16</f>
        <v>263468.45634610765</v>
      </c>
      <c r="M23" s="306">
        <f t="shared" ref="M23" si="50">M7+M16</f>
        <v>263468.45634610765</v>
      </c>
      <c r="O23" s="306">
        <f t="shared" ref="O23" si="51">O7+O16</f>
        <v>263468.45634610765</v>
      </c>
      <c r="Q23" s="306">
        <f t="shared" ref="Q23" si="52">Q7+Q16</f>
        <v>263468.45634610765</v>
      </c>
      <c r="S23" s="306">
        <f t="shared" ref="S23" si="53">S7+S16</f>
        <v>263468.45634610765</v>
      </c>
      <c r="U23" s="306">
        <f t="shared" ref="U23" si="54">U7+U16</f>
        <v>263468.45634610765</v>
      </c>
      <c r="W23" s="306">
        <f t="shared" ref="W23" si="55">W7+W16</f>
        <v>263468.45634610765</v>
      </c>
      <c r="Y23" s="306">
        <f t="shared" ref="Y23" si="56">Y7+Y16</f>
        <v>263468.45634610765</v>
      </c>
      <c r="AA23" s="306">
        <f t="shared" ref="AA23" si="57">AA7+AA16</f>
        <v>3161621.4761532918</v>
      </c>
    </row>
    <row r="24" spans="1:27" ht="15.75" thickTop="1"/>
  </sheetData>
  <mergeCells count="26">
    <mergeCell ref="U10:V10"/>
    <mergeCell ref="W10:X10"/>
    <mergeCell ref="Y10:Z10"/>
    <mergeCell ref="AA10:AB10"/>
    <mergeCell ref="AA1:AB1"/>
    <mergeCell ref="U1:V1"/>
    <mergeCell ref="W1:X1"/>
    <mergeCell ref="Y1:Z1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O1:P1"/>
    <mergeCell ref="Q1:R1"/>
    <mergeCell ref="S1:T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Sheet4</vt:lpstr>
      <vt:lpstr>OMAN-Suggested</vt:lpstr>
      <vt:lpstr>Consolidated</vt:lpstr>
      <vt:lpstr>Markaz</vt:lpstr>
      <vt:lpstr>Avenue</vt:lpstr>
      <vt:lpstr>Rent Calculation</vt:lpstr>
      <vt:lpstr>Sales Figures Markaz</vt:lpstr>
      <vt:lpstr>Sheet1</vt:lpstr>
      <vt:lpstr>Sheet3</vt:lpstr>
      <vt:lpstr>Avenue!Print_Area</vt:lpstr>
      <vt:lpstr>Markaz!Print_Area</vt:lpstr>
      <vt:lpstr>Avenue!Print_Titles</vt:lpstr>
      <vt:lpstr>Markaz!Print_Titles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2016-01-25T09:28:38Z</cp:lastPrinted>
  <dcterms:created xsi:type="dcterms:W3CDTF">2010-03-10T02:36:12Z</dcterms:created>
  <dcterms:modified xsi:type="dcterms:W3CDTF">2016-12-29T13:32:31Z</dcterms:modified>
</cp:coreProperties>
</file>